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rafae\Documents\Carpetas Carpetas\C A R  P E T A S        V A R I A S\CC  AA  RR  PP  EE TT  AA  SS\1 CABALLOS 2020\RAID  ADEMUZ\14  XIV RAID   DE ADEMUZ 2021\"/>
    </mc:Choice>
  </mc:AlternateContent>
  <bookViews>
    <workbookView xWindow="360" yWindow="420" windowWidth="9720" windowHeight="7200" tabRatio="809" activeTab="2"/>
  </bookViews>
  <sheets>
    <sheet name="Datos" sheetId="1" r:id="rId1"/>
    <sheet name="Matrículas" sheetId="3" r:id="rId2"/>
    <sheet name="Resultados" sheetId="9" r:id="rId3"/>
  </sheets>
  <definedNames>
    <definedName name="_xlnm._FilterDatabase" localSheetId="2" hidden="1">Resultados!$C$6:$AF$10</definedName>
    <definedName name="_xlnm.Print_Area" localSheetId="0">Datos!$A$1:$J$33</definedName>
    <definedName name="_xlnm.Print_Area" localSheetId="1">Matrículas!$A$1:$M$18</definedName>
    <definedName name="_xlnm.Print_Area" localSheetId="2">Resultados!$A$1:$AG$21</definedName>
    <definedName name="_xlnm.Print_Area">Datos!$A$1:$J$31</definedName>
    <definedName name="_xlnm.Print_Titles" localSheetId="1">Matrículas!$A:$A,Matrículas!$1:$7</definedName>
    <definedName name="_xlnm.Print_Titles" localSheetId="2">Resultados!#REF!,Resultados!$2:$9</definedName>
  </definedNames>
  <calcPr calcId="162913"/>
</workbook>
</file>

<file path=xl/calcChain.xml><?xml version="1.0" encoding="utf-8"?>
<calcChain xmlns="http://schemas.openxmlformats.org/spreadsheetml/2006/main">
  <c r="C10" i="9" l="1"/>
  <c r="C11" i="9"/>
  <c r="C12" i="9"/>
  <c r="C13" i="9"/>
  <c r="C14" i="9"/>
  <c r="C15" i="9"/>
  <c r="C16" i="9"/>
  <c r="C17" i="9"/>
  <c r="C18" i="9"/>
  <c r="C19" i="9"/>
  <c r="C20" i="9"/>
  <c r="AG15" i="9" l="1"/>
  <c r="AG19" i="9" l="1"/>
  <c r="AG20" i="9"/>
  <c r="AG10" i="9"/>
  <c r="AG12" i="9"/>
  <c r="AG11" i="9"/>
  <c r="AG13" i="9"/>
  <c r="AG14" i="9"/>
  <c r="AG16" i="9"/>
  <c r="AG17" i="9"/>
  <c r="AG18" i="9"/>
  <c r="Q18" i="9"/>
  <c r="R18" i="9" s="1"/>
  <c r="Q14" i="9"/>
  <c r="R14" i="9" s="1"/>
  <c r="Q10" i="9"/>
  <c r="R10" i="9" s="1"/>
  <c r="I5" i="9"/>
  <c r="I8" i="9"/>
  <c r="I19" i="9" s="1"/>
  <c r="L20" i="9"/>
  <c r="M20" i="9" s="1"/>
  <c r="L10" i="9"/>
  <c r="M10" i="9" s="1"/>
  <c r="L12" i="9"/>
  <c r="M12" i="9" s="1"/>
  <c r="L11" i="9"/>
  <c r="L13" i="9"/>
  <c r="M13" i="9" s="1"/>
  <c r="L14" i="9"/>
  <c r="L15" i="9"/>
  <c r="M15" i="9" s="1"/>
  <c r="L16" i="9"/>
  <c r="M16" i="9" s="1"/>
  <c r="L17" i="9"/>
  <c r="M17" i="9" s="1"/>
  <c r="L18" i="9"/>
  <c r="M18" i="9" s="1"/>
  <c r="L19" i="9"/>
  <c r="Q19" i="9"/>
  <c r="R19" i="9" s="1"/>
  <c r="AB19" i="9"/>
  <c r="AB18" i="9"/>
  <c r="Q17" i="9"/>
  <c r="R17" i="9" s="1"/>
  <c r="AB17" i="9"/>
  <c r="Q16" i="9"/>
  <c r="R16" i="9" s="1"/>
  <c r="AB16" i="9"/>
  <c r="Q15" i="9"/>
  <c r="R15" i="9" s="1"/>
  <c r="AB15" i="9"/>
  <c r="AB14" i="9"/>
  <c r="Q13" i="9"/>
  <c r="R13" i="9" s="1"/>
  <c r="AB13" i="9"/>
  <c r="Q11" i="9"/>
  <c r="R11" i="9" s="1"/>
  <c r="AB11" i="9"/>
  <c r="Q12" i="9"/>
  <c r="R12" i="9" s="1"/>
  <c r="AB12" i="9"/>
  <c r="AB10" i="9"/>
  <c r="Q20" i="9"/>
  <c r="R20" i="9" s="1"/>
  <c r="AB20" i="9"/>
  <c r="I14" i="9" l="1"/>
  <c r="I10" i="9"/>
  <c r="I12" i="9"/>
  <c r="I16" i="9"/>
  <c r="I11" i="9"/>
  <c r="I17" i="9"/>
  <c r="I20" i="9"/>
  <c r="I13" i="9"/>
  <c r="I18" i="9"/>
  <c r="I15" i="9"/>
  <c r="M11" i="9"/>
  <c r="M14" i="9"/>
  <c r="M19" i="9"/>
  <c r="J6" i="9" l="1"/>
  <c r="D19" i="9" l="1"/>
  <c r="B19" i="9"/>
  <c r="B18" i="9"/>
  <c r="B17" i="9"/>
  <c r="B16" i="9"/>
  <c r="B15" i="9"/>
  <c r="B14" i="9"/>
  <c r="B13" i="9"/>
  <c r="B11" i="9"/>
  <c r="B12" i="9"/>
  <c r="B10" i="9"/>
  <c r="G19" i="9" l="1"/>
  <c r="H19" i="9" l="1"/>
  <c r="AC19" i="9"/>
  <c r="AF19" i="9" s="1"/>
  <c r="G20" i="9"/>
  <c r="AC20" i="9" s="1"/>
  <c r="AF20" i="9" s="1"/>
  <c r="D20" i="9"/>
  <c r="B20" i="9"/>
  <c r="G10" i="9"/>
  <c r="D10" i="9"/>
  <c r="G12" i="9"/>
  <c r="AC12" i="9" s="1"/>
  <c r="AF12" i="9" s="1"/>
  <c r="D12" i="9"/>
  <c r="G11" i="9"/>
  <c r="AC11" i="9" s="1"/>
  <c r="AF11" i="9" s="1"/>
  <c r="D11" i="9"/>
  <c r="G13" i="9"/>
  <c r="D13" i="9"/>
  <c r="G14" i="9"/>
  <c r="D14" i="9"/>
  <c r="G15" i="9"/>
  <c r="D15" i="9"/>
  <c r="G16" i="9"/>
  <c r="D16" i="9"/>
  <c r="G17" i="9"/>
  <c r="D17" i="9"/>
  <c r="G18" i="9"/>
  <c r="D18" i="9"/>
  <c r="H15" i="9" l="1"/>
  <c r="AC15" i="9"/>
  <c r="AF15" i="9" s="1"/>
  <c r="H14" i="9"/>
  <c r="AC14" i="9"/>
  <c r="AF14" i="9" s="1"/>
  <c r="H13" i="9"/>
  <c r="AC13" i="9"/>
  <c r="AF13" i="9" s="1"/>
  <c r="H10" i="9"/>
  <c r="AC10" i="9"/>
  <c r="AF10" i="9" s="1"/>
  <c r="H17" i="9"/>
  <c r="AC17" i="9"/>
  <c r="AF17" i="9" s="1"/>
  <c r="H16" i="9"/>
  <c r="AC16" i="9"/>
  <c r="AF16" i="9" s="1"/>
  <c r="H18" i="9"/>
  <c r="AC18" i="9"/>
  <c r="AF18" i="9" s="1"/>
  <c r="H11" i="9"/>
  <c r="H12" i="9"/>
  <c r="H20" i="9"/>
  <c r="S8" i="9"/>
  <c r="N8" i="9"/>
  <c r="N18" i="9" l="1"/>
  <c r="N14" i="9"/>
  <c r="N11" i="9"/>
  <c r="N15" i="9"/>
  <c r="N20" i="9"/>
  <c r="N16" i="9"/>
  <c r="N10" i="9"/>
  <c r="N17" i="9"/>
  <c r="N19" i="9"/>
  <c r="N13" i="9"/>
  <c r="N12" i="9"/>
  <c r="S17" i="9"/>
  <c r="S16" i="9"/>
  <c r="S14" i="9"/>
  <c r="S11" i="9"/>
  <c r="S10" i="9"/>
  <c r="S15" i="9"/>
  <c r="S13" i="9"/>
  <c r="S12" i="9"/>
  <c r="S20" i="9"/>
  <c r="S18" i="9"/>
  <c r="S19" i="9"/>
  <c r="G3" i="1"/>
  <c r="I22" i="1"/>
  <c r="I18" i="1"/>
  <c r="I24" i="1" s="1"/>
  <c r="I23" i="1"/>
  <c r="I19" i="1"/>
  <c r="D2" i="9"/>
  <c r="AF3" i="9"/>
  <c r="E6" i="9"/>
  <c r="H6" i="9"/>
  <c r="M4" i="1"/>
  <c r="P6" i="9"/>
  <c r="AB6" i="9"/>
  <c r="M5" i="1"/>
  <c r="AD6" i="9" s="1"/>
  <c r="R8" i="9"/>
  <c r="B11" i="1"/>
  <c r="W8" i="9" s="1"/>
  <c r="B12" i="1"/>
  <c r="AA8" i="9" s="1"/>
  <c r="D1" i="3"/>
  <c r="E3" i="3"/>
  <c r="E4" i="3"/>
  <c r="G5" i="3"/>
  <c r="C5" i="1"/>
  <c r="E5" i="1"/>
  <c r="I5" i="1"/>
  <c r="B8" i="1"/>
  <c r="D8" i="1"/>
  <c r="D9" i="1" s="1"/>
  <c r="D10" i="1" s="1"/>
  <c r="D11" i="1" s="1"/>
  <c r="D12" i="1" s="1"/>
  <c r="E8" i="1"/>
  <c r="I8" i="1"/>
  <c r="B9" i="1"/>
  <c r="C9" i="1"/>
  <c r="E9" i="1"/>
  <c r="B10" i="1"/>
  <c r="C10" i="1"/>
  <c r="E10" i="1"/>
  <c r="I10" i="1"/>
  <c r="C11" i="1"/>
  <c r="E11" i="1"/>
  <c r="I11" i="1"/>
  <c r="C12" i="1"/>
  <c r="B16" i="1"/>
  <c r="H16" i="1"/>
  <c r="D17" i="1"/>
  <c r="D18" i="1"/>
  <c r="D19" i="1"/>
  <c r="G21" i="1"/>
  <c r="D22" i="1"/>
  <c r="D23" i="1"/>
  <c r="B26" i="1"/>
  <c r="D28" i="1"/>
  <c r="D32" i="1" s="1"/>
  <c r="D29" i="1"/>
  <c r="D24" i="1"/>
  <c r="E5" i="3" l="1"/>
  <c r="D30" i="1"/>
  <c r="E14" i="1"/>
  <c r="I20" i="1"/>
  <c r="I13" i="1"/>
  <c r="D20" i="1"/>
  <c r="D21" i="1" s="1"/>
  <c r="B14" i="1"/>
  <c r="I9" i="1"/>
  <c r="I12" i="1" s="1"/>
  <c r="I14" i="1" s="1"/>
  <c r="I21" i="1" l="1"/>
  <c r="D31" i="1" s="1"/>
</calcChain>
</file>

<file path=xl/sharedStrings.xml><?xml version="1.0" encoding="utf-8"?>
<sst xmlns="http://schemas.openxmlformats.org/spreadsheetml/2006/main" count="213" uniqueCount="130">
  <si>
    <t>FASE   I</t>
  </si>
  <si>
    <t>TOTALES</t>
  </si>
  <si>
    <t>HORA SALIDA</t>
  </si>
  <si>
    <t>DISTANCIA</t>
  </si>
  <si>
    <t>VELOCIDAD MÍNIMA</t>
  </si>
  <si>
    <t>TIEMPO LÍMITE</t>
  </si>
  <si>
    <t>CIERRE CONTROL</t>
  </si>
  <si>
    <t>Descanso Obligatorio</t>
  </si>
  <si>
    <t xml:space="preserve">  Horas</t>
  </si>
  <si>
    <t xml:space="preserve">  Km</t>
  </si>
  <si>
    <t xml:space="preserve">  Km/H</t>
  </si>
  <si>
    <t xml:space="preserve"> Minutos</t>
  </si>
  <si>
    <t>Km. TOTALES</t>
  </si>
  <si>
    <t>NÚMERO FASES</t>
  </si>
  <si>
    <t>VEL MIN.</t>
  </si>
  <si>
    <t>TIEMPO TOTAL</t>
  </si>
  <si>
    <t>DESCANSO TOTAL</t>
  </si>
  <si>
    <t>FASE   II</t>
  </si>
  <si>
    <t>IMPORTANTE</t>
  </si>
  <si>
    <t xml:space="preserve"> A. M.</t>
  </si>
  <si>
    <t>CE   0</t>
  </si>
  <si>
    <t>Horas</t>
  </si>
  <si>
    <t xml:space="preserve"> Km.</t>
  </si>
  <si>
    <t xml:space="preserve"> Km/H</t>
  </si>
  <si>
    <t xml:space="preserve"> Horas</t>
  </si>
  <si>
    <t>FASE I</t>
  </si>
  <si>
    <t>km.</t>
  </si>
  <si>
    <t>FASE II</t>
  </si>
  <si>
    <t>FASE III</t>
  </si>
  <si>
    <t>FASE IV</t>
  </si>
  <si>
    <t>FASE V</t>
  </si>
  <si>
    <t>Desc. Obligat.</t>
  </si>
  <si>
    <t>Lugar:</t>
  </si>
  <si>
    <t>Fecha:</t>
  </si>
  <si>
    <t>Kilometros totales</t>
  </si>
  <si>
    <t>Descanso total</t>
  </si>
  <si>
    <t>Hora de salida</t>
  </si>
  <si>
    <t>Velocidad Mínima:</t>
  </si>
  <si>
    <t>Kilómetros 1º Fase</t>
  </si>
  <si>
    <t xml:space="preserve">Descanso </t>
  </si>
  <si>
    <t>Kilómetros 2° Fase</t>
  </si>
  <si>
    <t>Descanso</t>
  </si>
  <si>
    <t>Kilómetros 3° Fase</t>
  </si>
  <si>
    <t>Kilómetros 4° Fase</t>
  </si>
  <si>
    <t>Kilómetros 5º Fase</t>
  </si>
  <si>
    <t>Km.</t>
  </si>
  <si>
    <t>DECLARACIÓN de PARTICIPANTES</t>
  </si>
  <si>
    <t>FECHA:</t>
  </si>
  <si>
    <t xml:space="preserve">KM. :     </t>
  </si>
  <si>
    <t>MATRÍCULAS Y REPARTO DE DORSALES</t>
  </si>
  <si>
    <t>NOMBRE</t>
  </si>
  <si>
    <t>LDN</t>
  </si>
  <si>
    <t>Sexo</t>
  </si>
  <si>
    <t xml:space="preserve"> RAZA</t>
  </si>
  <si>
    <t>CAPA</t>
  </si>
  <si>
    <t>H. SALIDA:</t>
  </si>
  <si>
    <t>CATEGORÍA:</t>
  </si>
  <si>
    <t>Nació</t>
  </si>
  <si>
    <t>CABALLO</t>
  </si>
  <si>
    <t>VET GATE</t>
  </si>
  <si>
    <t>SALIDA</t>
  </si>
  <si>
    <t>CE 1</t>
  </si>
  <si>
    <t>Según Control</t>
  </si>
  <si>
    <t>JINETE</t>
  </si>
  <si>
    <t>SAL</t>
  </si>
  <si>
    <t>DOR</t>
  </si>
  <si>
    <t>TOTAL :</t>
  </si>
  <si>
    <t>2.ª FASE</t>
  </si>
  <si>
    <t>TIEMPO</t>
  </si>
  <si>
    <t>PRUEBA</t>
  </si>
  <si>
    <t>Tiempo</t>
  </si>
  <si>
    <t>Km/h</t>
  </si>
  <si>
    <t>Llegada</t>
  </si>
  <si>
    <t>Contr. Vet.</t>
  </si>
  <si>
    <t>TOTAL</t>
  </si>
  <si>
    <t xml:space="preserve"> HORA de SALIDA:</t>
  </si>
  <si>
    <t>CE 7</t>
  </si>
  <si>
    <t>Descanso Total</t>
  </si>
  <si>
    <t>1.ª FASE</t>
  </si>
  <si>
    <t>3.ª FASE</t>
  </si>
  <si>
    <t>Salida</t>
  </si>
  <si>
    <t xml:space="preserve">    Dorsal</t>
  </si>
  <si>
    <t>FINAL</t>
  </si>
  <si>
    <t>Km</t>
  </si>
  <si>
    <t>Recupe-ración</t>
  </si>
  <si>
    <t>Acumuladas</t>
  </si>
  <si>
    <t>4.ª FASE</t>
  </si>
  <si>
    <t>5.ª FASE</t>
  </si>
  <si>
    <t>Hora VET</t>
  </si>
  <si>
    <t>CARRERA</t>
  </si>
  <si>
    <t>A. M.</t>
  </si>
  <si>
    <t>VELOCIDAD MAXIMA</t>
  </si>
  <si>
    <t xml:space="preserve">  Km/h</t>
  </si>
  <si>
    <t>TIEMPO MINIMO</t>
  </si>
  <si>
    <t>Velocidad Maxima:</t>
  </si>
  <si>
    <t xml:space="preserve"> Se conceden 2 presentaciones al Control Veterinario; la primera voluntaria, la segunda el control obligatorio. La carrera termina en la línea de acceso al Control Veterinario. Pulso 64/m</t>
  </si>
  <si>
    <t>Ademuz</t>
  </si>
  <si>
    <t xml:space="preserve"> </t>
  </si>
  <si>
    <t>SALIDAS</t>
  </si>
  <si>
    <t>MICROCHIP</t>
  </si>
  <si>
    <t>HORA REAL</t>
  </si>
  <si>
    <t>XIV RAID HÍPICO RINCON DE ADEMUZ</t>
  </si>
  <si>
    <t>CEA 40</t>
  </si>
  <si>
    <t>ESCALONADA</t>
  </si>
  <si>
    <t>CATI MAS MUNTANER</t>
  </si>
  <si>
    <t>RAFAEL GENOVART</t>
  </si>
  <si>
    <t>MAR PEREZ</t>
  </si>
  <si>
    <t>DAVID PEREZ</t>
  </si>
  <si>
    <t xml:space="preserve">BEATRIZ PINOS </t>
  </si>
  <si>
    <t>DIEGO SENENT</t>
  </si>
  <si>
    <t>CANDELA HERNANI</t>
  </si>
  <si>
    <t>CAMILA SMESTAD</t>
  </si>
  <si>
    <t>CHRISTIAN FERNANDEZ</t>
  </si>
  <si>
    <t xml:space="preserve">CELIA CHISVERT </t>
  </si>
  <si>
    <t>DIEGO DE LARCY</t>
  </si>
  <si>
    <t>CAPOTE</t>
  </si>
  <si>
    <t>ARVEJONA</t>
  </si>
  <si>
    <t>TRA ONA</t>
  </si>
  <si>
    <t>KENIA EA</t>
  </si>
  <si>
    <t>PECK DE PEÑAFLOR</t>
  </si>
  <si>
    <t>ABZ ALEPO</t>
  </si>
  <si>
    <t>MISS SOPOT</t>
  </si>
  <si>
    <t>PANAMERA</t>
  </si>
  <si>
    <t>FURIA</t>
  </si>
  <si>
    <t>JUAN CUENCA</t>
  </si>
  <si>
    <t>TRA OREO</t>
  </si>
  <si>
    <t>ESTUDIAR LA FORMULA PARA CUADRARAR</t>
  </si>
  <si>
    <t xml:space="preserve">VER REGLAMENTO KM </t>
  </si>
  <si>
    <t>CLASIFICADOS</t>
  </si>
  <si>
    <t>CLASIFICADOS POR ORDEN DE DORSAL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</si>
</sst>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hh\.mm\.ss"/>
    <numFmt numFmtId="165" formatCode="_(* #,##0_);_(* \(#,##0\);_(* &quot;-&quot;_);_(@_)"/>
    <numFmt numFmtId="166" formatCode=";;;"/>
    <numFmt numFmtId="167" formatCode="0.0"/>
    <numFmt numFmtId="168" formatCode="0.000"/>
    <numFmt numFmtId="169" formatCode="[$-40A]d&quot; de &quot;mmmm&quot; de &quot;yyyy;@"/>
    <numFmt numFmtId="170" formatCode="d\-m\-yy;@"/>
    <numFmt numFmtId="171" formatCode="[$-F400]h:mm:ss\ AM/PM"/>
    <numFmt numFmtId="172" formatCode="h:mm:ss;@"/>
  </numFmts>
  <fonts count="33">
    <font>
      <sz val="12"/>
      <name val="Arial"/>
    </font>
    <font>
      <sz val="12"/>
      <name val="SWISS"/>
    </font>
    <font>
      <b/>
      <sz val="12"/>
      <name val="Times New Roman"/>
      <family val="1"/>
    </font>
    <font>
      <sz val="10"/>
      <name val="Arial"/>
      <family val="2"/>
    </font>
    <font>
      <b/>
      <i/>
      <sz val="3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b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2"/>
      <color indexed="17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i/>
      <sz val="24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41"/>
      </patternFill>
    </fill>
    <fill>
      <patternFill patternType="gray125">
        <fgColor indexed="17"/>
      </patternFill>
    </fill>
    <fill>
      <patternFill patternType="gray06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17"/>
      </left>
      <right/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 style="double">
        <color indexed="17"/>
      </left>
      <right/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17"/>
      </left>
      <right style="double">
        <color indexed="19"/>
      </right>
      <top/>
      <bottom/>
      <diagonal/>
    </border>
    <border>
      <left/>
      <right/>
      <top style="medium">
        <color indexed="42"/>
      </top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 style="medium">
        <color indexed="42"/>
      </bottom>
      <diagonal/>
    </border>
    <border>
      <left/>
      <right style="medium">
        <color indexed="42"/>
      </right>
      <top style="medium">
        <color indexed="42"/>
      </top>
      <bottom style="medium">
        <color indexed="42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NumberFormat="1" applyFont="1" applyAlignment="1"/>
    <xf numFmtId="0" fontId="0" fillId="0" borderId="0" xfId="0" applyBorder="1"/>
    <xf numFmtId="0" fontId="6" fillId="0" borderId="0" xfId="0" applyNumberFormat="1" applyFont="1" applyAlignment="1"/>
    <xf numFmtId="0" fontId="5" fillId="0" borderId="0" xfId="0" applyNumberFormat="1" applyFont="1" applyAlignment="1"/>
    <xf numFmtId="0" fontId="6" fillId="0" borderId="4" xfId="0" applyNumberFormat="1" applyFont="1" applyBorder="1"/>
    <xf numFmtId="0" fontId="6" fillId="0" borderId="0" xfId="0" applyNumberFormat="1" applyFont="1" applyBorder="1" applyAlignment="1"/>
    <xf numFmtId="0" fontId="6" fillId="0" borderId="0" xfId="0" applyNumberFormat="1" applyFont="1" applyBorder="1"/>
    <xf numFmtId="0" fontId="8" fillId="0" borderId="0" xfId="0" applyNumberFormat="1" applyFont="1" applyAlignment="1">
      <alignment horizontal="right"/>
    </xf>
    <xf numFmtId="0" fontId="6" fillId="0" borderId="0" xfId="0" applyNumberFormat="1" applyFont="1"/>
    <xf numFmtId="0" fontId="6" fillId="0" borderId="2" xfId="0" applyNumberFormat="1" applyFont="1" applyBorder="1"/>
    <xf numFmtId="0" fontId="6" fillId="0" borderId="0" xfId="0" applyFont="1" applyBorder="1"/>
    <xf numFmtId="0" fontId="6" fillId="0" borderId="12" xfId="0" applyFont="1" applyBorder="1"/>
    <xf numFmtId="0" fontId="11" fillId="0" borderId="10" xfId="0" applyFont="1" applyBorder="1"/>
    <xf numFmtId="0" fontId="11" fillId="0" borderId="14" xfId="0" applyFont="1" applyBorder="1"/>
    <xf numFmtId="0" fontId="12" fillId="0" borderId="14" xfId="0" applyFont="1" applyBorder="1"/>
    <xf numFmtId="21" fontId="12" fillId="0" borderId="6" xfId="0" applyNumberFormat="1" applyFont="1" applyBorder="1"/>
    <xf numFmtId="0" fontId="6" fillId="0" borderId="14" xfId="0" applyFont="1" applyBorder="1"/>
    <xf numFmtId="0" fontId="6" fillId="0" borderId="6" xfId="0" applyFont="1" applyBorder="1"/>
    <xf numFmtId="21" fontId="6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/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0" xfId="0" applyNumberFormat="1" applyFont="1" applyBorder="1" applyAlignment="1"/>
    <xf numFmtId="2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0" fontId="8" fillId="0" borderId="0" xfId="0" applyNumberFormat="1" applyFont="1" applyBorder="1" applyAlignment="1">
      <alignment horizontal="right"/>
    </xf>
    <xf numFmtId="166" fontId="6" fillId="0" borderId="0" xfId="0" applyNumberFormat="1" applyFont="1" applyProtection="1">
      <protection hidden="1"/>
    </xf>
    <xf numFmtId="166" fontId="6" fillId="0" borderId="4" xfId="0" applyNumberFormat="1" applyFont="1" applyBorder="1" applyProtection="1">
      <protection hidden="1"/>
    </xf>
    <xf numFmtId="0" fontId="5" fillId="1" borderId="3" xfId="0" applyNumberFormat="1" applyFont="1" applyFill="1" applyBorder="1" applyAlignment="1">
      <alignment horizontal="center"/>
    </xf>
    <xf numFmtId="0" fontId="5" fillId="1" borderId="3" xfId="0" applyNumberFormat="1" applyFont="1" applyFill="1" applyBorder="1" applyAlignment="1">
      <alignment horizontal="left"/>
    </xf>
    <xf numFmtId="0" fontId="5" fillId="1" borderId="3" xfId="0" applyNumberFormat="1" applyFont="1" applyFill="1" applyBorder="1" applyAlignment="1"/>
    <xf numFmtId="0" fontId="5" fillId="1" borderId="3" xfId="0" applyNumberFormat="1" applyFont="1" applyFill="1" applyBorder="1" applyAlignment="1">
      <alignment horizontal="right"/>
    </xf>
    <xf numFmtId="0" fontId="6" fillId="1" borderId="3" xfId="0" applyNumberFormat="1" applyFont="1" applyFill="1" applyBorder="1" applyAlignment="1"/>
    <xf numFmtId="164" fontId="5" fillId="1" borderId="3" xfId="0" applyNumberFormat="1" applyFont="1" applyFill="1" applyBorder="1" applyAlignment="1">
      <alignment horizontal="centerContinuous"/>
    </xf>
    <xf numFmtId="166" fontId="6" fillId="0" borderId="3" xfId="0" applyNumberFormat="1" applyFont="1" applyBorder="1" applyProtection="1">
      <protection hidden="1"/>
    </xf>
    <xf numFmtId="0" fontId="8" fillId="0" borderId="3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Continuous" vertical="top"/>
    </xf>
    <xf numFmtId="0" fontId="7" fillId="0" borderId="1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/>
    </xf>
    <xf numFmtId="21" fontId="5" fillId="0" borderId="0" xfId="0" applyNumberFormat="1" applyFont="1" applyBorder="1" applyAlignment="1"/>
    <xf numFmtId="0" fontId="5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8" xfId="0" applyNumberFormat="1" applyFont="1" applyBorder="1" applyAlignment="1"/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5" fillId="0" borderId="20" xfId="0" applyNumberFormat="1" applyFont="1" applyBorder="1" applyAlignment="1"/>
    <xf numFmtId="0" fontId="6" fillId="0" borderId="20" xfId="0" applyFont="1" applyBorder="1"/>
    <xf numFmtId="0" fontId="5" fillId="0" borderId="21" xfId="0" applyNumberFormat="1" applyFont="1" applyBorder="1" applyAlignment="1"/>
    <xf numFmtId="0" fontId="6" fillId="0" borderId="22" xfId="0" applyFont="1" applyBorder="1"/>
    <xf numFmtId="0" fontId="6" fillId="0" borderId="22" xfId="0" applyFont="1" applyBorder="1" applyAlignment="1">
      <alignment horizontal="center"/>
    </xf>
    <xf numFmtId="0" fontId="5" fillId="0" borderId="19" xfId="0" applyNumberFormat="1" applyFont="1" applyBorder="1" applyAlignment="1"/>
    <xf numFmtId="21" fontId="5" fillId="0" borderId="19" xfId="0" applyNumberFormat="1" applyFont="1" applyBorder="1" applyAlignment="1"/>
    <xf numFmtId="0" fontId="6" fillId="0" borderId="23" xfId="0" applyNumberFormat="1" applyFont="1" applyBorder="1" applyAlignment="1"/>
    <xf numFmtId="0" fontId="6" fillId="0" borderId="24" xfId="0" applyNumberFormat="1" applyFont="1" applyBorder="1" applyAlignment="1"/>
    <xf numFmtId="0" fontId="5" fillId="0" borderId="22" xfId="0" applyNumberFormat="1" applyFont="1" applyBorder="1" applyAlignment="1"/>
    <xf numFmtId="21" fontId="5" fillId="0" borderId="22" xfId="0" applyNumberFormat="1" applyFont="1" applyBorder="1" applyAlignment="1"/>
    <xf numFmtId="0" fontId="6" fillId="0" borderId="25" xfId="0" applyNumberFormat="1" applyFont="1" applyBorder="1" applyAlignment="1"/>
    <xf numFmtId="0" fontId="5" fillId="0" borderId="26" xfId="0" applyNumberFormat="1" applyFont="1" applyBorder="1" applyAlignment="1"/>
    <xf numFmtId="0" fontId="5" fillId="0" borderId="27" xfId="0" applyNumberFormat="1" applyFont="1" applyBorder="1" applyAlignment="1"/>
    <xf numFmtId="0" fontId="5" fillId="0" borderId="27" xfId="0" applyNumberFormat="1" applyFont="1" applyBorder="1" applyAlignment="1">
      <alignment horizontal="centerContinuous"/>
    </xf>
    <xf numFmtId="0" fontId="5" fillId="0" borderId="28" xfId="0" applyNumberFormat="1" applyFont="1" applyBorder="1" applyAlignment="1">
      <alignment horizontal="centerContinuous"/>
    </xf>
    <xf numFmtId="164" fontId="5" fillId="0" borderId="19" xfId="0" applyNumberFormat="1" applyFont="1" applyBorder="1" applyAlignment="1">
      <alignment horizontal="left"/>
    </xf>
    <xf numFmtId="0" fontId="6" fillId="0" borderId="19" xfId="0" applyNumberFormat="1" applyFont="1" applyBorder="1" applyAlignment="1"/>
    <xf numFmtId="0" fontId="5" fillId="0" borderId="8" xfId="0" applyNumberFormat="1" applyFont="1" applyBorder="1" applyAlignment="1">
      <alignment horizontal="right"/>
    </xf>
    <xf numFmtId="0" fontId="7" fillId="1" borderId="2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6" fontId="5" fillId="0" borderId="0" xfId="0" applyNumberFormat="1" applyFont="1" applyProtection="1">
      <protection hidden="1"/>
    </xf>
    <xf numFmtId="0" fontId="10" fillId="0" borderId="3" xfId="0" applyNumberFormat="1" applyFont="1" applyBorder="1" applyAlignment="1">
      <alignment horizontal="right"/>
    </xf>
    <xf numFmtId="0" fontId="16" fillId="0" borderId="0" xfId="0" applyFont="1"/>
    <xf numFmtId="166" fontId="6" fillId="0" borderId="0" xfId="0" applyNumberFormat="1" applyFont="1" applyBorder="1" applyProtection="1">
      <protection hidden="1"/>
    </xf>
    <xf numFmtId="0" fontId="8" fillId="0" borderId="0" xfId="0" applyNumberFormat="1" applyFont="1" applyBorder="1" applyAlignment="1">
      <alignment horizontal="center"/>
    </xf>
    <xf numFmtId="164" fontId="5" fillId="1" borderId="3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11" fillId="0" borderId="24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5" fillId="1" borderId="30" xfId="0" applyNumberFormat="1" applyFont="1" applyFill="1" applyBorder="1" applyAlignment="1">
      <alignment horizontal="right"/>
    </xf>
    <xf numFmtId="0" fontId="6" fillId="1" borderId="30" xfId="0" applyNumberFormat="1" applyFont="1" applyFill="1" applyBorder="1" applyAlignment="1"/>
    <xf numFmtId="0" fontId="5" fillId="0" borderId="31" xfId="0" applyNumberFormat="1" applyFont="1" applyBorder="1" applyAlignment="1"/>
    <xf numFmtId="0" fontId="5" fillId="0" borderId="30" xfId="0" applyNumberFormat="1" applyFont="1" applyBorder="1" applyAlignment="1"/>
    <xf numFmtId="0" fontId="5" fillId="0" borderId="30" xfId="0" applyNumberFormat="1" applyFont="1" applyBorder="1" applyAlignment="1">
      <alignment horizontal="right"/>
    </xf>
    <xf numFmtId="21" fontId="5" fillId="0" borderId="30" xfId="0" applyNumberFormat="1" applyFont="1" applyBorder="1" applyAlignment="1"/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/>
    <xf numFmtId="0" fontId="7" fillId="0" borderId="32" xfId="0" applyNumberFormat="1" applyFont="1" applyBorder="1" applyAlignment="1">
      <alignment horizontal="centerContinuous"/>
    </xf>
    <xf numFmtId="0" fontId="5" fillId="0" borderId="33" xfId="0" applyNumberFormat="1" applyFont="1" applyBorder="1" applyAlignment="1">
      <alignment horizontal="centerContinuous"/>
    </xf>
    <xf numFmtId="0" fontId="6" fillId="0" borderId="33" xfId="0" applyNumberFormat="1" applyFont="1" applyBorder="1" applyAlignment="1">
      <alignment horizontal="centerContinuous"/>
    </xf>
    <xf numFmtId="0" fontId="6" fillId="0" borderId="34" xfId="0" applyNumberFormat="1" applyFont="1" applyBorder="1" applyAlignment="1">
      <alignment horizontal="centerContinuous"/>
    </xf>
    <xf numFmtId="0" fontId="7" fillId="0" borderId="35" xfId="0" applyNumberFormat="1" applyFont="1" applyBorder="1" applyAlignment="1">
      <alignment horizontal="centerContinuous"/>
    </xf>
    <xf numFmtId="0" fontId="6" fillId="0" borderId="36" xfId="0" applyNumberFormat="1" applyFont="1" applyBorder="1" applyAlignment="1"/>
    <xf numFmtId="0" fontId="5" fillId="0" borderId="37" xfId="0" applyNumberFormat="1" applyFont="1" applyBorder="1" applyAlignment="1">
      <alignment horizontal="centerContinuous" vertical="top"/>
    </xf>
    <xf numFmtId="0" fontId="6" fillId="0" borderId="38" xfId="0" applyNumberFormat="1" applyFont="1" applyBorder="1" applyAlignment="1">
      <alignment horizontal="centerContinuous"/>
    </xf>
    <xf numFmtId="0" fontId="6" fillId="0" borderId="39" xfId="0" applyNumberFormat="1" applyFont="1" applyBorder="1" applyAlignment="1">
      <alignment horizontal="centerContinuous"/>
    </xf>
    <xf numFmtId="21" fontId="11" fillId="0" borderId="23" xfId="0" applyNumberFormat="1" applyFont="1" applyFill="1" applyBorder="1" applyAlignment="1">
      <alignment horizontal="center"/>
    </xf>
    <xf numFmtId="21" fontId="11" fillId="0" borderId="24" xfId="0" applyNumberFormat="1" applyFont="1" applyFill="1" applyBorder="1" applyAlignment="1">
      <alignment horizontal="center"/>
    </xf>
    <xf numFmtId="0" fontId="17" fillId="0" borderId="41" xfId="0" applyNumberFormat="1" applyFont="1" applyBorder="1" applyAlignment="1">
      <alignment horizontal="center"/>
    </xf>
    <xf numFmtId="15" fontId="5" fillId="1" borderId="3" xfId="0" applyNumberFormat="1" applyFont="1" applyFill="1" applyBorder="1" applyAlignment="1"/>
    <xf numFmtId="21" fontId="6" fillId="0" borderId="0" xfId="0" applyNumberFormat="1" applyFont="1" applyAlignment="1"/>
    <xf numFmtId="46" fontId="1" fillId="0" borderId="0" xfId="0" applyNumberFormat="1" applyFont="1" applyAlignment="1"/>
    <xf numFmtId="21" fontId="1" fillId="0" borderId="0" xfId="0" applyNumberFormat="1" applyFont="1" applyAlignment="1"/>
    <xf numFmtId="0" fontId="1" fillId="0" borderId="6" xfId="0" applyNumberFormat="1" applyFont="1" applyBorder="1" applyAlignment="1"/>
    <xf numFmtId="0" fontId="19" fillId="4" borderId="42" xfId="0" applyNumberFormat="1" applyFont="1" applyFill="1" applyBorder="1" applyAlignment="1">
      <alignment horizontal="center"/>
    </xf>
    <xf numFmtId="21" fontId="5" fillId="0" borderId="22" xfId="0" applyNumberFormat="1" applyFont="1" applyBorder="1" applyAlignment="1">
      <alignment horizontal="right"/>
    </xf>
    <xf numFmtId="14" fontId="11" fillId="0" borderId="6" xfId="0" applyNumberFormat="1" applyFont="1" applyBorder="1"/>
    <xf numFmtId="0" fontId="6" fillId="0" borderId="24" xfId="0" applyNumberFormat="1" applyFont="1" applyBorder="1" applyAlignment="1">
      <alignment horizontal="left"/>
    </xf>
    <xf numFmtId="168" fontId="5" fillId="0" borderId="0" xfId="0" applyNumberFormat="1" applyFont="1" applyBorder="1" applyAlignment="1"/>
    <xf numFmtId="168" fontId="6" fillId="0" borderId="6" xfId="0" applyNumberFormat="1" applyFont="1" applyBorder="1" applyAlignment="1">
      <alignment horizontal="right"/>
    </xf>
    <xf numFmtId="168" fontId="6" fillId="0" borderId="6" xfId="0" applyNumberFormat="1" applyFont="1" applyBorder="1"/>
    <xf numFmtId="168" fontId="12" fillId="0" borderId="6" xfId="1" applyNumberFormat="1" applyFont="1" applyBorder="1"/>
    <xf numFmtId="168" fontId="6" fillId="0" borderId="19" xfId="0" applyNumberFormat="1" applyFont="1" applyBorder="1"/>
    <xf numFmtId="168" fontId="6" fillId="0" borderId="0" xfId="0" applyNumberFormat="1" applyFont="1" applyBorder="1"/>
    <xf numFmtId="168" fontId="6" fillId="0" borderId="22" xfId="0" applyNumberFormat="1" applyFont="1" applyBorder="1"/>
    <xf numFmtId="15" fontId="18" fillId="3" borderId="27" xfId="0" applyNumberFormat="1" applyFont="1" applyFill="1" applyBorder="1" applyAlignment="1">
      <alignment vertical="center"/>
    </xf>
    <xf numFmtId="0" fontId="6" fillId="0" borderId="11" xfId="0" applyFont="1" applyBorder="1"/>
    <xf numFmtId="0" fontId="5" fillId="0" borderId="44" xfId="0" applyNumberFormat="1" applyFont="1" applyBorder="1" applyAlignment="1"/>
    <xf numFmtId="0" fontId="14" fillId="5" borderId="45" xfId="0" applyNumberFormat="1" applyFont="1" applyFill="1" applyBorder="1" applyAlignment="1">
      <alignment horizontal="center"/>
    </xf>
    <xf numFmtId="0" fontId="25" fillId="5" borderId="46" xfId="0" applyNumberFormat="1" applyFont="1" applyFill="1" applyBorder="1" applyAlignment="1">
      <alignment horizontal="left"/>
    </xf>
    <xf numFmtId="0" fontId="26" fillId="5" borderId="45" xfId="0" applyNumberFormat="1" applyFont="1" applyFill="1" applyBorder="1" applyAlignment="1">
      <alignment horizontal="right"/>
    </xf>
    <xf numFmtId="164" fontId="25" fillId="5" borderId="45" xfId="0" applyNumberFormat="1" applyFont="1" applyFill="1" applyBorder="1" applyAlignment="1">
      <alignment horizontal="centerContinuous"/>
    </xf>
    <xf numFmtId="0" fontId="26" fillId="5" borderId="47" xfId="0" applyNumberFormat="1" applyFont="1" applyFill="1" applyBorder="1" applyAlignment="1">
      <alignment horizontal="centerContinuous"/>
    </xf>
    <xf numFmtId="0" fontId="27" fillId="5" borderId="45" xfId="0" applyNumberFormat="1" applyFont="1" applyFill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17" fillId="0" borderId="49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7" fillId="1" borderId="5" xfId="0" applyNumberFormat="1" applyFont="1" applyFill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8" fontId="5" fillId="0" borderId="5" xfId="1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167" fontId="5" fillId="0" borderId="30" xfId="0" applyNumberFormat="1" applyFont="1" applyBorder="1" applyAlignment="1">
      <alignment horizontal="left"/>
    </xf>
    <xf numFmtId="168" fontId="7" fillId="1" borderId="3" xfId="0" applyNumberFormat="1" applyFont="1" applyFill="1" applyBorder="1" applyAlignment="1">
      <alignment horizontal="center"/>
    </xf>
    <xf numFmtId="170" fontId="22" fillId="6" borderId="5" xfId="0" applyNumberFormat="1" applyFont="1" applyFill="1" applyBorder="1" applyAlignment="1">
      <alignment horizontal="center"/>
    </xf>
    <xf numFmtId="1" fontId="22" fillId="6" borderId="5" xfId="0" applyNumberFormat="1" applyFont="1" applyFill="1" applyBorder="1" applyAlignment="1">
      <alignment horizontal="center"/>
    </xf>
    <xf numFmtId="170" fontId="20" fillId="6" borderId="5" xfId="0" applyNumberFormat="1" applyFont="1" applyFill="1" applyBorder="1" applyAlignment="1">
      <alignment horizontal="center"/>
    </xf>
    <xf numFmtId="0" fontId="20" fillId="6" borderId="5" xfId="0" applyNumberFormat="1" applyFont="1" applyFill="1" applyBorder="1" applyAlignment="1">
      <alignment horizontal="center"/>
    </xf>
    <xf numFmtId="21" fontId="5" fillId="7" borderId="9" xfId="0" applyNumberFormat="1" applyFont="1" applyFill="1" applyBorder="1" applyAlignment="1">
      <alignment horizontal="center"/>
    </xf>
    <xf numFmtId="0" fontId="9" fillId="7" borderId="48" xfId="0" applyNumberFormat="1" applyFont="1" applyFill="1" applyBorder="1" applyAlignment="1">
      <alignment horizontal="center"/>
    </xf>
    <xf numFmtId="171" fontId="6" fillId="7" borderId="5" xfId="0" applyNumberFormat="1" applyFont="1" applyFill="1" applyBorder="1" applyAlignment="1">
      <alignment horizontal="center"/>
    </xf>
    <xf numFmtId="21" fontId="5" fillId="8" borderId="9" xfId="0" applyNumberFormat="1" applyFont="1" applyFill="1" applyBorder="1" applyAlignment="1">
      <alignment horizontal="center"/>
    </xf>
    <xf numFmtId="0" fontId="9" fillId="8" borderId="48" xfId="0" applyNumberFormat="1" applyFont="1" applyFill="1" applyBorder="1" applyAlignment="1">
      <alignment horizontal="center"/>
    </xf>
    <xf numFmtId="21" fontId="5" fillId="9" borderId="9" xfId="0" applyNumberFormat="1" applyFont="1" applyFill="1" applyBorder="1" applyAlignment="1">
      <alignment horizontal="center"/>
    </xf>
    <xf numFmtId="0" fontId="9" fillId="9" borderId="48" xfId="0" applyNumberFormat="1" applyFont="1" applyFill="1" applyBorder="1" applyAlignment="1">
      <alignment horizontal="center"/>
    </xf>
    <xf numFmtId="0" fontId="2" fillId="2" borderId="56" xfId="0" applyNumberFormat="1" applyFont="1" applyFill="1" applyBorder="1" applyAlignment="1">
      <alignment horizontal="left"/>
    </xf>
    <xf numFmtId="0" fontId="2" fillId="2" borderId="56" xfId="0" applyNumberFormat="1" applyFont="1" applyFill="1" applyBorder="1" applyAlignment="1"/>
    <xf numFmtId="0" fontId="2" fillId="2" borderId="56" xfId="0" applyNumberFormat="1" applyFont="1" applyFill="1" applyBorder="1" applyAlignment="1">
      <alignment horizontal="center"/>
    </xf>
    <xf numFmtId="0" fontId="2" fillId="2" borderId="57" xfId="0" applyNumberFormat="1" applyFont="1" applyFill="1" applyBorder="1" applyAlignment="1">
      <alignment horizontal="center"/>
    </xf>
    <xf numFmtId="0" fontId="16" fillId="6" borderId="17" xfId="0" applyNumberFormat="1" applyFont="1" applyFill="1" applyBorder="1" applyAlignment="1">
      <alignment horizontal="center"/>
    </xf>
    <xf numFmtId="0" fontId="28" fillId="0" borderId="58" xfId="0" applyFont="1" applyBorder="1"/>
    <xf numFmtId="0" fontId="28" fillId="0" borderId="53" xfId="0" applyFont="1" applyBorder="1"/>
    <xf numFmtId="0" fontId="0" fillId="0" borderId="59" xfId="0" applyBorder="1"/>
    <xf numFmtId="3" fontId="22" fillId="6" borderId="50" xfId="0" applyNumberFormat="1" applyFont="1" applyFill="1" applyBorder="1" applyAlignment="1">
      <alignment horizontal="center"/>
    </xf>
    <xf numFmtId="1" fontId="23" fillId="6" borderId="31" xfId="0" applyNumberFormat="1" applyFont="1" applyFill="1" applyBorder="1" applyAlignment="1">
      <alignment horizontal="center"/>
    </xf>
    <xf numFmtId="49" fontId="22" fillId="6" borderId="30" xfId="0" applyNumberFormat="1" applyFont="1" applyFill="1" applyBorder="1" applyAlignment="1">
      <alignment horizontal="center"/>
    </xf>
    <xf numFmtId="49" fontId="29" fillId="0" borderId="59" xfId="0" quotePrefix="1" applyNumberFormat="1" applyFont="1" applyBorder="1"/>
    <xf numFmtId="0" fontId="28" fillId="0" borderId="60" xfId="0" applyFont="1" applyBorder="1"/>
    <xf numFmtId="0" fontId="28" fillId="0" borderId="31" xfId="0" applyFont="1" applyBorder="1"/>
    <xf numFmtId="0" fontId="0" fillId="0" borderId="61" xfId="0" applyFont="1" applyBorder="1"/>
    <xf numFmtId="3" fontId="20" fillId="6" borderId="50" xfId="0" applyNumberFormat="1" applyFont="1" applyFill="1" applyBorder="1" applyAlignment="1">
      <alignment horizontal="center"/>
    </xf>
    <xf numFmtId="0" fontId="24" fillId="6" borderId="31" xfId="0" applyNumberFormat="1" applyFont="1" applyFill="1" applyBorder="1" applyAlignment="1">
      <alignment horizontal="center"/>
    </xf>
    <xf numFmtId="0" fontId="0" fillId="0" borderId="61" xfId="0" applyBorder="1"/>
    <xf numFmtId="49" fontId="29" fillId="0" borderId="61" xfId="0" quotePrefix="1" applyNumberFormat="1" applyFont="1" applyBorder="1"/>
    <xf numFmtId="0" fontId="0" fillId="0" borderId="61" xfId="0" applyFill="1" applyBorder="1"/>
    <xf numFmtId="171" fontId="6" fillId="9" borderId="5" xfId="0" applyNumberFormat="1" applyFont="1" applyFill="1" applyBorder="1" applyAlignment="1">
      <alignment horizontal="center"/>
    </xf>
    <xf numFmtId="172" fontId="6" fillId="8" borderId="5" xfId="0" applyNumberFormat="1" applyFont="1" applyFill="1" applyBorder="1" applyAlignment="1">
      <alignment horizontal="center"/>
    </xf>
    <xf numFmtId="21" fontId="9" fillId="1" borderId="0" xfId="0" applyNumberFormat="1" applyFont="1" applyFill="1" applyBorder="1" applyAlignment="1">
      <alignment horizontal="left"/>
    </xf>
    <xf numFmtId="0" fontId="5" fillId="0" borderId="64" xfId="0" applyNumberFormat="1" applyFont="1" applyBorder="1" applyAlignment="1">
      <alignment horizontal="center"/>
    </xf>
    <xf numFmtId="21" fontId="31" fillId="0" borderId="6" xfId="0" applyNumberFormat="1" applyFont="1" applyBorder="1"/>
    <xf numFmtId="0" fontId="2" fillId="0" borderId="9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166" fontId="2" fillId="0" borderId="0" xfId="0" applyNumberFormat="1" applyFont="1" applyProtection="1">
      <protection hidden="1"/>
    </xf>
    <xf numFmtId="21" fontId="0" fillId="0" borderId="5" xfId="0" applyNumberFormat="1" applyBorder="1"/>
    <xf numFmtId="0" fontId="30" fillId="6" borderId="62" xfId="0" applyFont="1" applyFill="1" applyBorder="1" applyAlignment="1">
      <alignment horizontal="center"/>
    </xf>
    <xf numFmtId="0" fontId="30" fillId="6" borderId="63" xfId="0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0" fontId="21" fillId="6" borderId="26" xfId="0" applyNumberFormat="1" applyFont="1" applyFill="1" applyBorder="1" applyAlignment="1">
      <alignment horizontal="center"/>
    </xf>
    <xf numFmtId="0" fontId="21" fillId="6" borderId="27" xfId="0" applyNumberFormat="1" applyFont="1" applyFill="1" applyBorder="1" applyAlignment="1">
      <alignment horizontal="center"/>
    </xf>
    <xf numFmtId="0" fontId="21" fillId="6" borderId="28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15" fillId="0" borderId="27" xfId="0" applyNumberFormat="1" applyFont="1" applyBorder="1" applyAlignment="1">
      <alignment horizontal="center"/>
    </xf>
    <xf numFmtId="0" fontId="15" fillId="0" borderId="28" xfId="0" applyNumberFormat="1" applyFont="1" applyBorder="1" applyAlignment="1">
      <alignment horizontal="center"/>
    </xf>
    <xf numFmtId="0" fontId="14" fillId="0" borderId="20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24" xfId="0" applyFont="1" applyBorder="1" applyAlignment="1">
      <alignment horizontal="justify" vertical="justify"/>
    </xf>
    <xf numFmtId="0" fontId="5" fillId="0" borderId="20" xfId="0" applyFont="1" applyBorder="1" applyAlignment="1">
      <alignment horizontal="justify" vertical="justify"/>
    </xf>
    <xf numFmtId="0" fontId="5" fillId="0" borderId="21" xfId="0" applyFont="1" applyBorder="1" applyAlignment="1">
      <alignment horizontal="justify" vertical="justify"/>
    </xf>
    <xf numFmtId="0" fontId="5" fillId="0" borderId="22" xfId="0" applyFont="1" applyBorder="1" applyAlignment="1">
      <alignment horizontal="justify" vertical="justify"/>
    </xf>
    <xf numFmtId="0" fontId="5" fillId="0" borderId="25" xfId="0" applyFont="1" applyBorder="1" applyAlignment="1">
      <alignment horizontal="justify" vertical="justify"/>
    </xf>
    <xf numFmtId="169" fontId="25" fillId="5" borderId="45" xfId="0" applyNumberFormat="1" applyFont="1" applyFill="1" applyBorder="1" applyAlignment="1">
      <alignment horizontal="center"/>
    </xf>
    <xf numFmtId="0" fontId="2" fillId="2" borderId="40" xfId="0" applyNumberFormat="1" applyFont="1" applyFill="1" applyBorder="1" applyAlignment="1">
      <alignment horizontal="right"/>
    </xf>
    <xf numFmtId="0" fontId="2" fillId="2" borderId="54" xfId="0" applyNumberFormat="1" applyFont="1" applyFill="1" applyBorder="1" applyAlignment="1">
      <alignment horizontal="right"/>
    </xf>
    <xf numFmtId="0" fontId="21" fillId="4" borderId="51" xfId="0" applyNumberFormat="1" applyFont="1" applyFill="1" applyBorder="1" applyAlignment="1">
      <alignment horizontal="center"/>
    </xf>
    <xf numFmtId="0" fontId="21" fillId="4" borderId="52" xfId="0" applyNumberFormat="1" applyFont="1" applyFill="1" applyBorder="1" applyAlignment="1">
      <alignment horizontal="center"/>
    </xf>
    <xf numFmtId="0" fontId="2" fillId="2" borderId="55" xfId="0" applyNumberFormat="1" applyFont="1" applyFill="1" applyBorder="1" applyAlignment="1">
      <alignment horizontal="center"/>
    </xf>
    <xf numFmtId="0" fontId="2" fillId="2" borderId="54" xfId="0" applyNumberFormat="1" applyFont="1" applyFill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1" borderId="8" xfId="0" applyNumberFormat="1" applyFont="1" applyFill="1" applyBorder="1" applyAlignment="1">
      <alignment horizontal="center"/>
    </xf>
    <xf numFmtId="0" fontId="4" fillId="1" borderId="9" xfId="0" applyNumberFormat="1" applyFont="1" applyFill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1" fontId="7" fillId="1" borderId="16" xfId="0" applyNumberFormat="1" applyFont="1" applyFill="1" applyBorder="1" applyAlignment="1">
      <alignment horizontal="center"/>
    </xf>
    <xf numFmtId="166" fontId="6" fillId="0" borderId="0" xfId="0" applyNumberFormat="1" applyFont="1" applyAlignment="1" applyProtection="1">
      <alignment horizontal="center" wrapText="1"/>
      <protection hidden="1"/>
    </xf>
    <xf numFmtId="0" fontId="32" fillId="0" borderId="65" xfId="0" applyFont="1" applyBorder="1" applyAlignment="1">
      <alignment horizontal="center" wrapText="1"/>
    </xf>
    <xf numFmtId="0" fontId="32" fillId="0" borderId="66" xfId="0" applyFont="1" applyBorder="1" applyAlignment="1">
      <alignment horizontal="center" wrapText="1"/>
    </xf>
    <xf numFmtId="0" fontId="32" fillId="0" borderId="67" xfId="0" applyFont="1" applyBorder="1" applyAlignment="1">
      <alignment horizontal="center" wrapText="1"/>
    </xf>
    <xf numFmtId="0" fontId="32" fillId="0" borderId="68" xfId="0" applyFont="1" applyBorder="1" applyAlignment="1">
      <alignment horizontal="center" wrapText="1"/>
    </xf>
    <xf numFmtId="0" fontId="32" fillId="0" borderId="69" xfId="0" applyFont="1" applyBorder="1" applyAlignment="1">
      <alignment horizontal="center" wrapText="1"/>
    </xf>
    <xf numFmtId="0" fontId="32" fillId="0" borderId="70" xfId="0" applyFont="1" applyBorder="1" applyAlignment="1">
      <alignment horizontal="center" wrapText="1"/>
    </xf>
  </cellXfs>
  <cellStyles count="2">
    <cellStyle name="Millares [0]" xfId="1" builtinId="6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249B1B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6B543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A9438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247650</xdr:rowOff>
    </xdr:from>
    <xdr:to>
      <xdr:col>1</xdr:col>
      <xdr:colOff>447675</xdr:colOff>
      <xdr:row>3</xdr:row>
      <xdr:rowOff>114300</xdr:rowOff>
    </xdr:to>
    <xdr:pic>
      <xdr:nvPicPr>
        <xdr:cNvPr id="115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247650"/>
          <a:ext cx="9906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381001</xdr:colOff>
      <xdr:row>3</xdr:row>
      <xdr:rowOff>211224</xdr:rowOff>
    </xdr:to>
    <xdr:pic>
      <xdr:nvPicPr>
        <xdr:cNvPr id="320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52400"/>
          <a:ext cx="659947" cy="916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27215</xdr:colOff>
      <xdr:row>0</xdr:row>
      <xdr:rowOff>0</xdr:rowOff>
    </xdr:from>
    <xdr:to>
      <xdr:col>1</xdr:col>
      <xdr:colOff>684894</xdr:colOff>
      <xdr:row>4</xdr:row>
      <xdr:rowOff>88446</xdr:rowOff>
    </xdr:to>
    <xdr:pic>
      <xdr:nvPicPr>
        <xdr:cNvPr id="4" name="2 Imagen" descr="ESCUDO FHCV 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15" y="0"/>
          <a:ext cx="1174750" cy="119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320675</xdr:colOff>
      <xdr:row>1</xdr:row>
      <xdr:rowOff>152400</xdr:rowOff>
    </xdr:from>
    <xdr:to>
      <xdr:col>0</xdr:col>
      <xdr:colOff>723900</xdr:colOff>
      <xdr:row>3</xdr:row>
      <xdr:rowOff>61943</xdr:rowOff>
    </xdr:to>
    <xdr:pic>
      <xdr:nvPicPr>
        <xdr:cNvPr id="219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675" y="368300"/>
          <a:ext cx="403225" cy="569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927100</xdr:colOff>
      <xdr:row>3</xdr:row>
      <xdr:rowOff>159592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1016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1172029</xdr:colOff>
      <xdr:row>4</xdr:row>
      <xdr:rowOff>98425</xdr:rowOff>
    </xdr:to>
    <xdr:pic>
      <xdr:nvPicPr>
        <xdr:cNvPr id="4" name="2 Imagen" descr="ESCUDO FHCV 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7475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33"/>
  <sheetViews>
    <sheetView showOutlineSymbols="0" zoomScale="75" zoomScaleNormal="87" workbookViewId="0">
      <selection activeCell="M12" sqref="M12"/>
    </sheetView>
  </sheetViews>
  <sheetFormatPr baseColWidth="10" defaultColWidth="9.6640625" defaultRowHeight="15"/>
  <cols>
    <col min="1" max="1" width="8.88671875" style="1" customWidth="1"/>
    <col min="2" max="2" width="6.77734375" style="1" customWidth="1"/>
    <col min="3" max="3" width="5.21875" style="1" customWidth="1"/>
    <col min="4" max="4" width="10.33203125" style="1" customWidth="1"/>
    <col min="5" max="5" width="7.77734375" style="1" bestFit="1" customWidth="1"/>
    <col min="6" max="6" width="5.88671875" style="1" customWidth="1"/>
    <col min="7" max="7" width="11.6640625" style="1" customWidth="1"/>
    <col min="8" max="8" width="7.6640625" style="1" customWidth="1"/>
    <col min="9" max="9" width="11" style="1" customWidth="1"/>
    <col min="10" max="10" width="11.21875" style="1" customWidth="1"/>
    <col min="11" max="11" width="9.6640625" style="1" customWidth="1"/>
    <col min="12" max="12" width="16.21875" style="1" bestFit="1" customWidth="1"/>
    <col min="13" max="16384" width="9.6640625" style="1"/>
  </cols>
  <sheetData>
    <row r="1" spans="1:16" ht="56.25" customHeight="1" thickTop="1" thickBot="1">
      <c r="C1" s="183" t="s">
        <v>101</v>
      </c>
      <c r="D1" s="184"/>
      <c r="E1" s="184"/>
      <c r="F1" s="184"/>
      <c r="G1" s="184"/>
      <c r="H1" s="184"/>
      <c r="I1" s="184"/>
      <c r="J1" s="185"/>
      <c r="K1"/>
      <c r="L1" s="3"/>
      <c r="M1" s="3" t="s">
        <v>102</v>
      </c>
    </row>
    <row r="2" spans="1:16" ht="31.5" customHeight="1" thickTop="1" thickBot="1">
      <c r="C2" s="3"/>
      <c r="D2" s="3"/>
      <c r="E2" s="3"/>
      <c r="F2" s="3"/>
      <c r="G2" s="3"/>
      <c r="H2" s="3"/>
      <c r="I2" s="3"/>
      <c r="J2" s="3"/>
      <c r="K2"/>
      <c r="L2" s="13" t="s">
        <v>32</v>
      </c>
      <c r="M2" s="118" t="s">
        <v>96</v>
      </c>
    </row>
    <row r="3" spans="1:16" ht="31.5" customHeight="1" thickBot="1">
      <c r="C3" s="3"/>
      <c r="D3" s="3"/>
      <c r="E3" s="3"/>
      <c r="F3" s="3"/>
      <c r="G3" s="125" t="str">
        <f>+M1</f>
        <v>CEA 40</v>
      </c>
      <c r="H3" s="3"/>
      <c r="I3" s="3"/>
      <c r="J3" s="3"/>
      <c r="K3"/>
      <c r="L3" s="14" t="s">
        <v>33</v>
      </c>
      <c r="M3" s="108">
        <v>44373</v>
      </c>
    </row>
    <row r="4" spans="1:16" ht="31.5" customHeight="1" thickBot="1">
      <c r="C4" s="3"/>
      <c r="D4" s="3"/>
      <c r="E4" s="3"/>
      <c r="F4" s="3"/>
      <c r="G4" s="4"/>
      <c r="H4" s="3"/>
      <c r="I4" s="3"/>
      <c r="J4" s="3"/>
      <c r="K4"/>
      <c r="L4" s="15" t="s">
        <v>34</v>
      </c>
      <c r="M4" s="113">
        <f>M9+M11+M13</f>
        <v>40</v>
      </c>
    </row>
    <row r="5" spans="1:16" ht="31.5" customHeight="1" thickBot="1">
      <c r="C5" s="121" t="str">
        <f>IF(M2="","LUGAR",M2)</f>
        <v>Ademuz</v>
      </c>
      <c r="D5" s="120"/>
      <c r="E5" s="198">
        <f>IF(M3="","FECHA",M3)</f>
        <v>44373</v>
      </c>
      <c r="F5" s="198"/>
      <c r="G5" s="198"/>
      <c r="H5" s="122" t="s">
        <v>80</v>
      </c>
      <c r="I5" s="123" t="str">
        <f>IF(M6="","",M6)</f>
        <v>ESCALONADA</v>
      </c>
      <c r="J5" s="124" t="s">
        <v>19</v>
      </c>
      <c r="K5" s="2"/>
      <c r="L5" s="15" t="s">
        <v>35</v>
      </c>
      <c r="M5" s="16">
        <f>M10+M12+M14+M16</f>
        <v>2.0833333333333332E-2</v>
      </c>
    </row>
    <row r="6" spans="1:16" ht="31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9"/>
      <c r="L6" s="17" t="s">
        <v>36</v>
      </c>
      <c r="M6" s="175" t="s">
        <v>103</v>
      </c>
    </row>
    <row r="7" spans="1:16" ht="31.5" customHeight="1" thickBot="1">
      <c r="A7" s="3"/>
      <c r="B7" s="3"/>
      <c r="C7" s="3"/>
      <c r="D7" s="3"/>
      <c r="E7" s="3"/>
      <c r="F7" s="3"/>
      <c r="G7" s="3"/>
      <c r="H7" s="3"/>
      <c r="I7" s="3"/>
      <c r="J7" s="8" t="s">
        <v>20</v>
      </c>
      <c r="K7" s="9"/>
      <c r="L7" s="17" t="s">
        <v>37</v>
      </c>
      <c r="M7" s="105">
        <v>11</v>
      </c>
    </row>
    <row r="8" spans="1:16" ht="31.5" customHeight="1" thickTop="1">
      <c r="A8" s="47" t="s">
        <v>25</v>
      </c>
      <c r="B8" s="114">
        <f>IF(M9="","",M9)</f>
        <v>20</v>
      </c>
      <c r="C8" s="48" t="s">
        <v>26</v>
      </c>
      <c r="D8" s="49" t="str">
        <f>IF(M11="","Llegada","Desc. Obligat.")</f>
        <v>Desc. Obligat.</v>
      </c>
      <c r="E8" s="98">
        <f>IF(M10="","",M10)</f>
        <v>2.0833333333333332E-2</v>
      </c>
      <c r="F8" s="24"/>
      <c r="G8" s="47" t="s">
        <v>2</v>
      </c>
      <c r="H8" s="55"/>
      <c r="I8" s="56" t="str">
        <f>M6</f>
        <v>ESCALONADA</v>
      </c>
      <c r="J8" s="57" t="s">
        <v>21</v>
      </c>
      <c r="K8" s="7"/>
      <c r="L8" s="17" t="s">
        <v>94</v>
      </c>
      <c r="M8" s="18">
        <v>15</v>
      </c>
      <c r="O8" s="1" t="s">
        <v>97</v>
      </c>
      <c r="P8" s="1" t="s">
        <v>97</v>
      </c>
    </row>
    <row r="9" spans="1:16" ht="31.5" customHeight="1">
      <c r="A9" s="50" t="s">
        <v>27</v>
      </c>
      <c r="B9" s="115">
        <f>IF(M11="","",M11)</f>
        <v>20</v>
      </c>
      <c r="C9" s="11" t="str">
        <f>IF(M11="","","km.")</f>
        <v>km.</v>
      </c>
      <c r="D9" s="46" t="str">
        <f>IF(D8="Llegada","",IF(M13="","Llegada","Desc. Obligat."))</f>
        <v>Desc. Obligat.</v>
      </c>
      <c r="E9" s="99">
        <f>IF(M12="","",M12)</f>
        <v>0</v>
      </c>
      <c r="F9" s="24"/>
      <c r="G9" s="50" t="s">
        <v>12</v>
      </c>
      <c r="H9" s="6"/>
      <c r="I9" s="26">
        <f>M4</f>
        <v>40</v>
      </c>
      <c r="J9" s="58" t="s">
        <v>22</v>
      </c>
      <c r="K9" s="7"/>
      <c r="L9" s="17" t="s">
        <v>38</v>
      </c>
      <c r="M9" s="112">
        <v>20</v>
      </c>
      <c r="O9" s="1" t="s">
        <v>97</v>
      </c>
      <c r="P9" s="1" t="s">
        <v>97</v>
      </c>
    </row>
    <row r="10" spans="1:16" ht="31.5" customHeight="1">
      <c r="A10" s="50" t="s">
        <v>28</v>
      </c>
      <c r="B10" s="115">
        <f>IF(M13="","",M13)</f>
        <v>0</v>
      </c>
      <c r="C10" s="11" t="str">
        <f>IF(M13="","","km.")</f>
        <v>km.</v>
      </c>
      <c r="D10" s="46" t="str">
        <f>IF(D9="","",IF(D9="Llegada","",IF(M15="","Llegada","Desc. Obligat.")))</f>
        <v>Llegada</v>
      </c>
      <c r="E10" s="99">
        <f>IF(M14="","",M14)</f>
        <v>0</v>
      </c>
      <c r="F10" s="24"/>
      <c r="G10" s="50" t="s">
        <v>13</v>
      </c>
      <c r="H10" s="24"/>
      <c r="I10" s="70" t="str">
        <f>IF(M9="","0",IF(M11="","1",IF(M13="","2",(IF(M15="","3",IF(M17="","4","5"))))))</f>
        <v>3</v>
      </c>
      <c r="J10" s="80" t="s">
        <v>85</v>
      </c>
      <c r="K10" s="7"/>
      <c r="L10" s="17" t="s">
        <v>39</v>
      </c>
      <c r="M10" s="19">
        <v>2.0833333333333332E-2</v>
      </c>
      <c r="O10" s="1" t="s">
        <v>97</v>
      </c>
      <c r="P10" s="1" t="s">
        <v>97</v>
      </c>
    </row>
    <row r="11" spans="1:16" ht="31.5" customHeight="1">
      <c r="A11" s="50" t="s">
        <v>29</v>
      </c>
      <c r="B11" s="115" t="str">
        <f>IF(M15="","",M15)</f>
        <v/>
      </c>
      <c r="C11" s="11" t="str">
        <f>IF(M15="","","km.")</f>
        <v/>
      </c>
      <c r="D11" s="77" t="str">
        <f>IF(D10="","",IF(D10="Llegada","",IF(M17="","Llegada","Desc. Obligat.")))</f>
        <v/>
      </c>
      <c r="E11" s="99" t="str">
        <f>IF(M16="","",M16)</f>
        <v/>
      </c>
      <c r="F11" s="24"/>
      <c r="G11" s="50" t="s">
        <v>14</v>
      </c>
      <c r="H11" s="24"/>
      <c r="I11" s="24">
        <f>M7</f>
        <v>11</v>
      </c>
      <c r="J11" s="58" t="s">
        <v>23</v>
      </c>
      <c r="K11" s="7"/>
      <c r="L11" s="17" t="s">
        <v>40</v>
      </c>
      <c r="M11" s="111">
        <v>20</v>
      </c>
      <c r="O11" s="1" t="s">
        <v>97</v>
      </c>
      <c r="P11" s="1" t="s">
        <v>97</v>
      </c>
    </row>
    <row r="12" spans="1:16" ht="31.5" customHeight="1">
      <c r="A12" s="50" t="s">
        <v>30</v>
      </c>
      <c r="B12" s="115" t="str">
        <f>IF(M17="","",M17)</f>
        <v/>
      </c>
      <c r="C12" s="11" t="str">
        <f>IF(M17="","","km.")</f>
        <v/>
      </c>
      <c r="D12" s="22" t="str">
        <f>IF(D11="","",IF(D11="Llegada","","Llegada"))</f>
        <v/>
      </c>
      <c r="E12" s="78"/>
      <c r="F12" s="24"/>
      <c r="G12" s="50" t="s">
        <v>15</v>
      </c>
      <c r="H12" s="24"/>
      <c r="I12" s="25">
        <f>+I9/I11/24</f>
        <v>0.15151515151515152</v>
      </c>
      <c r="J12" s="58" t="s">
        <v>24</v>
      </c>
      <c r="K12" s="7"/>
      <c r="L12" s="17" t="s">
        <v>41</v>
      </c>
      <c r="M12" s="19">
        <v>0</v>
      </c>
      <c r="O12" s="1" t="s">
        <v>97</v>
      </c>
      <c r="P12" s="1" t="s">
        <v>97</v>
      </c>
    </row>
    <row r="13" spans="1:16" ht="31.5" customHeight="1">
      <c r="A13" s="51"/>
      <c r="B13" s="115"/>
      <c r="C13" s="11"/>
      <c r="D13" s="22"/>
      <c r="E13" s="78"/>
      <c r="F13" s="24"/>
      <c r="G13" s="50" t="s">
        <v>16</v>
      </c>
      <c r="H13" s="6"/>
      <c r="I13" s="44">
        <f>M5</f>
        <v>2.0833333333333332E-2</v>
      </c>
      <c r="J13" s="58" t="s">
        <v>24</v>
      </c>
      <c r="K13" s="7"/>
      <c r="L13" s="17" t="s">
        <v>42</v>
      </c>
      <c r="M13" s="111">
        <v>0</v>
      </c>
      <c r="O13" s="1" t="s">
        <v>97</v>
      </c>
      <c r="P13" s="1" t="s">
        <v>97</v>
      </c>
    </row>
    <row r="14" spans="1:16" ht="31.5" customHeight="1" thickBot="1">
      <c r="A14" s="52" t="s">
        <v>1</v>
      </c>
      <c r="B14" s="116">
        <f>B8+B9+B10</f>
        <v>40</v>
      </c>
      <c r="C14" s="53" t="s">
        <v>26</v>
      </c>
      <c r="D14" s="54" t="s">
        <v>31</v>
      </c>
      <c r="E14" s="79">
        <f>IF(M5="0:00:00","0:00:00",M5)</f>
        <v>2.0833333333333332E-2</v>
      </c>
      <c r="F14" s="24"/>
      <c r="G14" s="52" t="s">
        <v>6</v>
      </c>
      <c r="H14" s="59"/>
      <c r="I14" s="60" t="e">
        <f>I12+M6+M5</f>
        <v>#VALUE!</v>
      </c>
      <c r="J14" s="61" t="s">
        <v>24</v>
      </c>
      <c r="K14" s="7"/>
      <c r="L14" s="17" t="s">
        <v>41</v>
      </c>
      <c r="M14" s="19">
        <v>0</v>
      </c>
      <c r="O14" s="1" t="s">
        <v>97</v>
      </c>
      <c r="P14" s="1" t="s">
        <v>97</v>
      </c>
    </row>
    <row r="15" spans="1:16" ht="31.5" customHeight="1" thickTop="1" thickBot="1">
      <c r="A15" s="24"/>
      <c r="B15" s="24"/>
      <c r="C15" s="24"/>
      <c r="D15" s="24"/>
      <c r="E15" s="24"/>
      <c r="F15" s="4"/>
      <c r="G15" s="24"/>
      <c r="H15" s="24"/>
      <c r="I15" s="24"/>
      <c r="J15" s="24"/>
      <c r="K15" s="9"/>
      <c r="L15" s="43" t="s">
        <v>43</v>
      </c>
      <c r="M15" s="21"/>
      <c r="O15" s="1" t="s">
        <v>97</v>
      </c>
      <c r="P15" s="1" t="s">
        <v>97</v>
      </c>
    </row>
    <row r="16" spans="1:16" ht="31.5" customHeight="1" thickTop="1" thickBot="1">
      <c r="A16" s="62" t="s">
        <v>0</v>
      </c>
      <c r="B16" s="63" t="str">
        <f>M2</f>
        <v>Ademuz</v>
      </c>
      <c r="C16" s="64"/>
      <c r="D16" s="63"/>
      <c r="E16" s="65"/>
      <c r="F16" s="24"/>
      <c r="G16" s="62" t="s">
        <v>17</v>
      </c>
      <c r="H16" s="63" t="str">
        <f>M2</f>
        <v>Ademuz</v>
      </c>
      <c r="I16" s="63"/>
      <c r="J16" s="65"/>
      <c r="K16" s="7"/>
      <c r="L16" s="17" t="s">
        <v>41</v>
      </c>
      <c r="M16" s="19"/>
    </row>
    <row r="17" spans="1:15" ht="31.5" customHeight="1" thickTop="1">
      <c r="A17" s="47" t="s">
        <v>2</v>
      </c>
      <c r="B17" s="55"/>
      <c r="C17" s="67"/>
      <c r="D17" s="56" t="str">
        <f>M6</f>
        <v>ESCALONADA</v>
      </c>
      <c r="E17" s="57" t="s">
        <v>8</v>
      </c>
      <c r="F17" s="24"/>
      <c r="G17" s="47" t="s">
        <v>2</v>
      </c>
      <c r="H17" s="55"/>
      <c r="I17" s="186" t="s">
        <v>62</v>
      </c>
      <c r="J17" s="187"/>
      <c r="K17" s="7"/>
      <c r="L17" s="12" t="s">
        <v>44</v>
      </c>
      <c r="M17" s="23"/>
    </row>
    <row r="18" spans="1:15" ht="31.5" customHeight="1">
      <c r="A18" s="50" t="s">
        <v>3</v>
      </c>
      <c r="B18" s="24"/>
      <c r="C18" s="6"/>
      <c r="D18" s="110">
        <f>M9</f>
        <v>20</v>
      </c>
      <c r="E18" s="58" t="s">
        <v>9</v>
      </c>
      <c r="F18" s="24"/>
      <c r="G18" s="50" t="s">
        <v>3</v>
      </c>
      <c r="H18" s="24"/>
      <c r="I18" s="110">
        <f>M11</f>
        <v>20</v>
      </c>
      <c r="J18" s="58" t="s">
        <v>9</v>
      </c>
      <c r="K18" s="7"/>
      <c r="L18" s="3"/>
      <c r="M18" s="102"/>
    </row>
    <row r="19" spans="1:15" ht="31.5" customHeight="1">
      <c r="A19" s="50" t="s">
        <v>4</v>
      </c>
      <c r="B19" s="24"/>
      <c r="C19" s="6"/>
      <c r="D19" s="24">
        <f>M7</f>
        <v>11</v>
      </c>
      <c r="E19" s="58" t="s">
        <v>10</v>
      </c>
      <c r="F19" s="24"/>
      <c r="G19" s="50" t="s">
        <v>4</v>
      </c>
      <c r="H19" s="24"/>
      <c r="I19" s="24">
        <f>M7</f>
        <v>11</v>
      </c>
      <c r="J19" s="58" t="s">
        <v>10</v>
      </c>
      <c r="K19" s="7"/>
      <c r="L19" s="3"/>
      <c r="M19" s="3"/>
    </row>
    <row r="20" spans="1:15" ht="31.5" customHeight="1">
      <c r="A20" s="50" t="s">
        <v>5</v>
      </c>
      <c r="B20" s="24"/>
      <c r="C20" s="6"/>
      <c r="D20" s="25">
        <f>IF(M9="","0:00:00",D18/D19/24)</f>
        <v>7.575757575757576E-2</v>
      </c>
      <c r="E20" s="58" t="s">
        <v>8</v>
      </c>
      <c r="F20" s="24"/>
      <c r="G20" s="50" t="s">
        <v>5</v>
      </c>
      <c r="H20" s="24"/>
      <c r="I20" s="25">
        <f>IF(M11="","0:00:00",I18/I19/24)</f>
        <v>7.575757575757576E-2</v>
      </c>
      <c r="J20" s="58" t="s">
        <v>8</v>
      </c>
      <c r="K20" s="7"/>
      <c r="L20" s="3"/>
      <c r="M20" s="3"/>
    </row>
    <row r="21" spans="1:15" ht="31.5" customHeight="1">
      <c r="A21" s="50" t="s">
        <v>6</v>
      </c>
      <c r="B21" s="24"/>
      <c r="C21" s="6"/>
      <c r="D21" s="25" t="e">
        <f>IF(M9="","0:00:00",M6+D20)</f>
        <v>#VALUE!</v>
      </c>
      <c r="E21" s="58" t="s">
        <v>8</v>
      </c>
      <c r="F21" s="24"/>
      <c r="G21" s="50" t="str">
        <f>IF(M13="","Límite de Llegada","CIERRE CONTROL")</f>
        <v>CIERRE CONTROL</v>
      </c>
      <c r="H21" s="24"/>
      <c r="I21" s="25" t="e">
        <f>IF(M11="","0:00:00",I20+D22+D21)</f>
        <v>#VALUE!</v>
      </c>
      <c r="J21" s="58" t="s">
        <v>8</v>
      </c>
      <c r="K21" s="7"/>
      <c r="L21" s="3"/>
      <c r="M21" s="3"/>
    </row>
    <row r="22" spans="1:15" ht="31.5" customHeight="1">
      <c r="A22" s="50" t="s">
        <v>7</v>
      </c>
      <c r="B22" s="24"/>
      <c r="C22" s="6"/>
      <c r="D22" s="44">
        <f>M10</f>
        <v>2.0833333333333332E-2</v>
      </c>
      <c r="E22" s="58" t="s">
        <v>11</v>
      </c>
      <c r="F22" s="24"/>
      <c r="G22" s="50" t="s">
        <v>7</v>
      </c>
      <c r="H22" s="24"/>
      <c r="I22" s="44">
        <f>M12</f>
        <v>0</v>
      </c>
      <c r="J22" s="58" t="s">
        <v>11</v>
      </c>
      <c r="L22" s="3"/>
      <c r="M22" s="3"/>
      <c r="O22" s="103"/>
    </row>
    <row r="23" spans="1:15" ht="31.5" customHeight="1">
      <c r="A23" s="50" t="s">
        <v>91</v>
      </c>
      <c r="B23" s="24"/>
      <c r="C23" s="6"/>
      <c r="D23" s="26">
        <f>M8</f>
        <v>15</v>
      </c>
      <c r="E23" s="80" t="s">
        <v>71</v>
      </c>
      <c r="F23" s="119"/>
      <c r="G23" s="50" t="s">
        <v>91</v>
      </c>
      <c r="H23" s="11"/>
      <c r="I23" s="26">
        <f>M8</f>
        <v>15</v>
      </c>
      <c r="J23" s="109" t="s">
        <v>92</v>
      </c>
      <c r="K23" s="7"/>
      <c r="L23" s="3"/>
      <c r="M23" s="3"/>
      <c r="O23" s="103"/>
    </row>
    <row r="24" spans="1:15" ht="31.5" customHeight="1" thickBot="1">
      <c r="A24" s="52" t="s">
        <v>93</v>
      </c>
      <c r="B24" s="59"/>
      <c r="C24" s="59"/>
      <c r="D24" s="107">
        <f>IF(M9="","0:00:00",D18/D23/24)</f>
        <v>5.5555555555555552E-2</v>
      </c>
      <c r="E24" s="61" t="s">
        <v>8</v>
      </c>
      <c r="F24" s="4"/>
      <c r="G24" s="52" t="s">
        <v>93</v>
      </c>
      <c r="H24" s="53"/>
      <c r="I24" s="107">
        <f>IF(M11="","0:00:00",I18/I23/24)</f>
        <v>5.5555555555555552E-2</v>
      </c>
      <c r="J24" s="61" t="s">
        <v>8</v>
      </c>
      <c r="K24" s="9"/>
      <c r="L24" s="3"/>
      <c r="M24" s="3"/>
      <c r="O24" s="103"/>
    </row>
    <row r="25" spans="1:15" ht="31.5" customHeight="1" thickTop="1" thickBot="1">
      <c r="A25" s="24"/>
      <c r="B25" s="24"/>
      <c r="C25" s="24"/>
      <c r="D25" s="25"/>
      <c r="E25" s="24"/>
      <c r="F25" s="4"/>
      <c r="G25" s="24"/>
      <c r="H25" s="24"/>
      <c r="I25" s="24"/>
      <c r="J25" s="24"/>
      <c r="K25" s="9"/>
      <c r="L25" s="3"/>
      <c r="M25" s="3"/>
      <c r="O25" s="103"/>
    </row>
    <row r="26" spans="1:15" ht="31.5" customHeight="1" thickTop="1" thickBot="1">
      <c r="A26" s="62" t="s">
        <v>28</v>
      </c>
      <c r="B26" s="63" t="str">
        <f>M2</f>
        <v>Ademuz</v>
      </c>
      <c r="C26" s="64"/>
      <c r="D26" s="63"/>
      <c r="E26" s="65"/>
      <c r="F26" s="24"/>
      <c r="G26" s="188" t="s">
        <v>18</v>
      </c>
      <c r="H26" s="189"/>
      <c r="I26" s="189"/>
      <c r="J26" s="190"/>
      <c r="L26" s="3"/>
      <c r="M26" s="102"/>
      <c r="O26" s="103"/>
    </row>
    <row r="27" spans="1:15" ht="31.5" customHeight="1" thickTop="1">
      <c r="A27" s="47" t="s">
        <v>2</v>
      </c>
      <c r="B27" s="55"/>
      <c r="C27" s="66"/>
      <c r="D27" s="186" t="s">
        <v>62</v>
      </c>
      <c r="E27" s="187"/>
      <c r="F27" s="24"/>
      <c r="G27" s="191" t="s">
        <v>95</v>
      </c>
      <c r="H27" s="192"/>
      <c r="I27" s="192"/>
      <c r="J27" s="193"/>
      <c r="L27" s="3"/>
      <c r="M27" s="102"/>
      <c r="O27" s="104"/>
    </row>
    <row r="28" spans="1:15" ht="31.5" customHeight="1">
      <c r="A28" s="50" t="s">
        <v>3</v>
      </c>
      <c r="B28" s="24"/>
      <c r="C28" s="6"/>
      <c r="D28" s="110">
        <f>M13</f>
        <v>0</v>
      </c>
      <c r="E28" s="58" t="s">
        <v>9</v>
      </c>
      <c r="F28" s="24"/>
      <c r="G28" s="194"/>
      <c r="H28" s="192"/>
      <c r="I28" s="192"/>
      <c r="J28" s="193"/>
      <c r="L28" s="3"/>
      <c r="M28" s="3"/>
      <c r="O28" s="104"/>
    </row>
    <row r="29" spans="1:15" ht="31.5" customHeight="1">
      <c r="A29" s="50" t="s">
        <v>4</v>
      </c>
      <c r="B29" s="24"/>
      <c r="C29" s="6"/>
      <c r="D29" s="24">
        <f>M7</f>
        <v>11</v>
      </c>
      <c r="E29" s="58" t="s">
        <v>10</v>
      </c>
      <c r="F29" s="24"/>
      <c r="G29" s="194"/>
      <c r="H29" s="192"/>
      <c r="I29" s="192"/>
      <c r="J29" s="193"/>
      <c r="L29" s="3"/>
      <c r="M29" s="3"/>
    </row>
    <row r="30" spans="1:15" ht="31.5" customHeight="1">
      <c r="A30" s="50" t="s">
        <v>5</v>
      </c>
      <c r="B30" s="24"/>
      <c r="C30" s="6"/>
      <c r="D30" s="25">
        <f>IF(M13="","0:00:00",D28/D29/24)</f>
        <v>0</v>
      </c>
      <c r="E30" s="58" t="s">
        <v>8</v>
      </c>
      <c r="F30" s="24"/>
      <c r="G30" s="194"/>
      <c r="H30" s="192"/>
      <c r="I30" s="192"/>
      <c r="J30" s="193"/>
      <c r="L30" s="3"/>
      <c r="M30" s="3"/>
    </row>
    <row r="31" spans="1:15" ht="31.5" customHeight="1">
      <c r="A31" s="50" t="s">
        <v>6</v>
      </c>
      <c r="B31" s="24"/>
      <c r="C31" s="24"/>
      <c r="D31" s="25" t="e">
        <f>IF(M13="","0:00:00",D30+I21+I22)</f>
        <v>#VALUE!</v>
      </c>
      <c r="E31" s="58" t="s">
        <v>8</v>
      </c>
      <c r="F31" s="24"/>
      <c r="G31" s="194"/>
      <c r="H31" s="192"/>
      <c r="I31" s="192"/>
      <c r="J31" s="193"/>
      <c r="L31" s="3"/>
      <c r="M31" s="3"/>
    </row>
    <row r="32" spans="1:15" ht="31.5" customHeight="1" thickBot="1">
      <c r="A32" s="52" t="s">
        <v>93</v>
      </c>
      <c r="B32" s="53"/>
      <c r="C32" s="53"/>
      <c r="D32" s="107">
        <f>IF(M11="","0:00:00",D28/I23/24)</f>
        <v>0</v>
      </c>
      <c r="E32" s="58" t="s">
        <v>8</v>
      </c>
      <c r="F32" s="9"/>
      <c r="G32" s="195"/>
      <c r="H32" s="196"/>
      <c r="I32" s="196"/>
      <c r="J32" s="197"/>
      <c r="L32" s="3"/>
      <c r="M32" s="3"/>
    </row>
    <row r="33" spans="1:13" ht="31.5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mergeCells count="6">
    <mergeCell ref="C1:J1"/>
    <mergeCell ref="I17:J17"/>
    <mergeCell ref="G26:J26"/>
    <mergeCell ref="G27:J32"/>
    <mergeCell ref="D27:E27"/>
    <mergeCell ref="E5:G5"/>
  </mergeCells>
  <phoneticPr fontId="0" type="noConversion"/>
  <printOptions horizontalCentered="1" verticalCentered="1"/>
  <pageMargins left="0.75" right="0.78740157480314965" top="0.39370078740157483" bottom="0.98425196850393704" header="0" footer="0"/>
  <pageSetup paperSize="9" scale="7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8"/>
  <sheetViews>
    <sheetView zoomScale="70" workbookViewId="0">
      <selection activeCell="D23" sqref="D23"/>
    </sheetView>
  </sheetViews>
  <sheetFormatPr baseColWidth="10" defaultRowHeight="15"/>
  <cols>
    <col min="1" max="1" width="6" customWidth="1"/>
    <col min="2" max="2" width="8.109375" customWidth="1"/>
    <col min="3" max="3" width="11.21875" customWidth="1"/>
    <col min="4" max="4" width="13.21875" customWidth="1"/>
    <col min="5" max="5" width="5.77734375" customWidth="1"/>
    <col min="6" max="6" width="7.88671875" customWidth="1"/>
    <col min="7" max="7" width="19.33203125" customWidth="1"/>
    <col min="8" max="8" width="7.88671875" customWidth="1"/>
    <col min="9" max="9" width="4.88671875" bestFit="1" customWidth="1"/>
    <col min="10" max="10" width="7.33203125" bestFit="1" customWidth="1"/>
    <col min="11" max="11" width="8.44140625" customWidth="1"/>
    <col min="13" max="13" width="11.88671875" customWidth="1"/>
  </cols>
  <sheetData>
    <row r="1" spans="1:15" ht="31.5" thickTop="1" thickBot="1">
      <c r="A1" s="1"/>
      <c r="B1" s="1"/>
      <c r="C1" s="1"/>
      <c r="D1" s="201" t="str">
        <f>Datos!C1</f>
        <v>XIV RAID HÍPICO RINCON DE ADEMUZ</v>
      </c>
      <c r="E1" s="202"/>
      <c r="F1" s="202"/>
      <c r="G1" s="202"/>
      <c r="H1" s="202"/>
      <c r="I1" s="202"/>
      <c r="J1" s="202"/>
      <c r="K1" s="202"/>
      <c r="L1" s="202"/>
      <c r="M1" s="106"/>
      <c r="N1" s="2"/>
    </row>
    <row r="2" spans="1:15" ht="17.25" thickTop="1" thickBot="1">
      <c r="A2" s="3"/>
      <c r="B2" s="3"/>
      <c r="C2" s="3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19.5" thickTop="1">
      <c r="A3" s="3"/>
      <c r="B3" s="3"/>
      <c r="C3" s="3"/>
      <c r="D3" s="83" t="s">
        <v>56</v>
      </c>
      <c r="E3" s="84" t="str">
        <f>+Datos!M1</f>
        <v>CEA 40</v>
      </c>
      <c r="F3" s="84"/>
      <c r="G3" s="84"/>
      <c r="H3" s="87"/>
      <c r="I3" s="89" t="s">
        <v>46</v>
      </c>
      <c r="J3" s="90"/>
      <c r="K3" s="91"/>
      <c r="L3" s="91"/>
      <c r="M3" s="92"/>
      <c r="N3" s="2"/>
    </row>
    <row r="4" spans="1:15" ht="18.75">
      <c r="A4" s="3"/>
      <c r="B4" s="3"/>
      <c r="C4" s="3"/>
      <c r="D4" s="83" t="s">
        <v>47</v>
      </c>
      <c r="E4" s="205">
        <f>Datos!M3</f>
        <v>44373</v>
      </c>
      <c r="F4" s="206"/>
      <c r="G4" s="206"/>
      <c r="H4" s="88"/>
      <c r="I4" s="93"/>
      <c r="J4" s="6"/>
      <c r="K4" s="6"/>
      <c r="L4" s="6"/>
      <c r="M4" s="94"/>
      <c r="N4" s="2"/>
      <c r="O4" s="2"/>
    </row>
    <row r="5" spans="1:15" ht="16.5" thickBot="1">
      <c r="A5" s="3"/>
      <c r="B5" s="3"/>
      <c r="C5" s="3"/>
      <c r="D5" s="83" t="s">
        <v>48</v>
      </c>
      <c r="E5" s="138">
        <f>Datos!M4</f>
        <v>40</v>
      </c>
      <c r="F5" s="85" t="s">
        <v>55</v>
      </c>
      <c r="G5" s="86" t="str">
        <f>Datos!M6</f>
        <v>ESCALONADA</v>
      </c>
      <c r="H5" s="88"/>
      <c r="I5" s="95" t="s">
        <v>49</v>
      </c>
      <c r="J5" s="96"/>
      <c r="K5" s="96"/>
      <c r="L5" s="96"/>
      <c r="M5" s="97"/>
      <c r="N5" s="2"/>
      <c r="O5" s="2"/>
    </row>
    <row r="6" spans="1:15" ht="17.25" thickTop="1" thickBot="1">
      <c r="A6" s="3"/>
      <c r="B6" s="3"/>
      <c r="C6" s="3"/>
      <c r="D6" s="7"/>
      <c r="E6" s="7"/>
      <c r="F6" s="7"/>
      <c r="G6" s="7"/>
      <c r="H6" s="7"/>
      <c r="I6" s="7"/>
      <c r="J6" s="7"/>
      <c r="K6" s="7"/>
      <c r="L6" s="7"/>
      <c r="M6" s="27" t="s">
        <v>61</v>
      </c>
      <c r="N6" s="2"/>
      <c r="O6" s="2"/>
    </row>
    <row r="7" spans="1:15" ht="16.5" thickBot="1">
      <c r="A7" s="199" t="s">
        <v>81</v>
      </c>
      <c r="B7" s="200"/>
      <c r="C7" s="203" t="s">
        <v>50</v>
      </c>
      <c r="D7" s="204"/>
      <c r="E7" s="203" t="s">
        <v>51</v>
      </c>
      <c r="F7" s="204"/>
      <c r="G7" s="151" t="s">
        <v>58</v>
      </c>
      <c r="H7" s="152" t="s">
        <v>57</v>
      </c>
      <c r="I7" s="152" t="s">
        <v>52</v>
      </c>
      <c r="J7" s="153" t="s">
        <v>53</v>
      </c>
      <c r="K7" s="153" t="s">
        <v>54</v>
      </c>
      <c r="L7" s="153" t="s">
        <v>97</v>
      </c>
      <c r="M7" s="154" t="s">
        <v>97</v>
      </c>
      <c r="N7" s="154" t="s">
        <v>99</v>
      </c>
      <c r="O7" s="2"/>
    </row>
    <row r="8" spans="1:15" ht="18" customHeight="1">
      <c r="A8" s="131">
        <v>1</v>
      </c>
      <c r="B8" s="155">
        <v>18</v>
      </c>
      <c r="C8" s="156" t="s">
        <v>104</v>
      </c>
      <c r="D8" s="157"/>
      <c r="E8" s="158"/>
      <c r="F8" s="159"/>
      <c r="G8" s="156" t="s">
        <v>114</v>
      </c>
      <c r="H8" s="140"/>
      <c r="I8" s="141"/>
      <c r="J8" s="141"/>
      <c r="K8" s="160"/>
      <c r="L8" s="158"/>
      <c r="M8" s="161"/>
      <c r="N8" s="162"/>
      <c r="O8" s="2"/>
    </row>
    <row r="9" spans="1:15" ht="18" customHeight="1">
      <c r="A9" s="131">
        <v>2</v>
      </c>
      <c r="B9" s="155">
        <v>17</v>
      </c>
      <c r="C9" s="163" t="s">
        <v>105</v>
      </c>
      <c r="D9" s="164"/>
      <c r="E9" s="165"/>
      <c r="F9" s="166"/>
      <c r="G9" s="163" t="s">
        <v>115</v>
      </c>
      <c r="H9" s="142"/>
      <c r="I9" s="143"/>
      <c r="J9" s="143"/>
      <c r="K9" s="167"/>
      <c r="L9" s="168"/>
      <c r="M9" s="161"/>
      <c r="N9" s="169"/>
      <c r="O9" s="2"/>
    </row>
    <row r="10" spans="1:15" ht="18" customHeight="1">
      <c r="A10" s="131">
        <v>3</v>
      </c>
      <c r="B10" s="155">
        <v>16</v>
      </c>
      <c r="C10" s="163" t="s">
        <v>106</v>
      </c>
      <c r="D10" s="164"/>
      <c r="E10" s="168"/>
      <c r="F10" s="159"/>
      <c r="G10" s="163" t="s">
        <v>116</v>
      </c>
      <c r="H10" s="142"/>
      <c r="I10" s="143"/>
      <c r="J10" s="143"/>
      <c r="K10" s="167"/>
      <c r="L10" s="170"/>
      <c r="M10" s="161"/>
      <c r="N10" s="169"/>
      <c r="O10" s="2"/>
    </row>
    <row r="11" spans="1:15" ht="18" customHeight="1">
      <c r="A11" s="131">
        <v>4</v>
      </c>
      <c r="B11" s="155">
        <v>15</v>
      </c>
      <c r="C11" s="163" t="s">
        <v>107</v>
      </c>
      <c r="D11" s="164"/>
      <c r="E11" s="168"/>
      <c r="F11" s="159"/>
      <c r="G11" s="163" t="s">
        <v>117</v>
      </c>
      <c r="H11" s="142"/>
      <c r="I11" s="143"/>
      <c r="J11" s="143"/>
      <c r="K11" s="167"/>
      <c r="L11" s="170"/>
      <c r="M11" s="161"/>
      <c r="N11" s="169"/>
      <c r="O11" s="2"/>
    </row>
    <row r="12" spans="1:15" ht="18" customHeight="1">
      <c r="A12" s="131">
        <v>5</v>
      </c>
      <c r="B12" s="155">
        <v>14</v>
      </c>
      <c r="C12" s="163" t="s">
        <v>108</v>
      </c>
      <c r="D12" s="164"/>
      <c r="E12" s="168"/>
      <c r="F12" s="159"/>
      <c r="G12" s="163" t="s">
        <v>118</v>
      </c>
      <c r="H12" s="142"/>
      <c r="I12" s="143"/>
      <c r="J12" s="143"/>
      <c r="K12" s="167"/>
      <c r="L12" s="170"/>
      <c r="M12" s="161"/>
      <c r="N12" s="169"/>
      <c r="O12" s="2"/>
    </row>
    <row r="13" spans="1:15" ht="18" customHeight="1">
      <c r="A13" s="131">
        <v>6</v>
      </c>
      <c r="B13" s="155">
        <v>13</v>
      </c>
      <c r="C13" s="163" t="s">
        <v>109</v>
      </c>
      <c r="D13" s="164"/>
      <c r="E13" s="168"/>
      <c r="F13" s="159"/>
      <c r="G13" s="163" t="s">
        <v>119</v>
      </c>
      <c r="H13" s="142"/>
      <c r="I13" s="143"/>
      <c r="J13" s="143"/>
      <c r="K13" s="167"/>
      <c r="L13" s="170"/>
      <c r="M13" s="161"/>
      <c r="N13" s="169"/>
      <c r="O13" s="2"/>
    </row>
    <row r="14" spans="1:15" ht="18" customHeight="1">
      <c r="A14" s="131">
        <v>7</v>
      </c>
      <c r="B14" s="155">
        <v>12</v>
      </c>
      <c r="C14" s="163" t="s">
        <v>110</v>
      </c>
      <c r="D14" s="164"/>
      <c r="E14" s="168"/>
      <c r="F14" s="159"/>
      <c r="G14" s="163" t="s">
        <v>120</v>
      </c>
      <c r="H14" s="142"/>
      <c r="I14" s="143"/>
      <c r="J14" s="143"/>
      <c r="K14" s="167"/>
      <c r="L14" s="170"/>
      <c r="M14" s="161"/>
      <c r="N14" s="169"/>
      <c r="O14" s="2"/>
    </row>
    <row r="15" spans="1:15" ht="18" customHeight="1">
      <c r="A15" s="131">
        <v>8</v>
      </c>
      <c r="B15" s="155">
        <v>10</v>
      </c>
      <c r="C15" s="163" t="s">
        <v>111</v>
      </c>
      <c r="D15" s="164"/>
      <c r="E15" s="168"/>
      <c r="F15" s="159"/>
      <c r="G15" s="163" t="s">
        <v>121</v>
      </c>
      <c r="H15" s="142"/>
      <c r="I15" s="143"/>
      <c r="J15" s="143"/>
      <c r="K15" s="167"/>
      <c r="L15" s="170"/>
      <c r="M15" s="161"/>
      <c r="N15" s="169"/>
      <c r="O15" s="2"/>
    </row>
    <row r="16" spans="1:15" ht="18" customHeight="1">
      <c r="A16" s="131">
        <v>9</v>
      </c>
      <c r="B16" s="155">
        <v>11</v>
      </c>
      <c r="C16" s="163" t="s">
        <v>112</v>
      </c>
      <c r="D16" s="164"/>
      <c r="E16" s="168"/>
      <c r="F16" s="159"/>
      <c r="G16" s="163" t="s">
        <v>122</v>
      </c>
      <c r="H16" s="142"/>
      <c r="I16" s="143"/>
      <c r="J16" s="143"/>
      <c r="K16" s="167"/>
      <c r="L16" s="170"/>
      <c r="M16" s="161"/>
      <c r="N16" s="169"/>
      <c r="O16" s="2"/>
    </row>
    <row r="17" spans="1:15" ht="18" customHeight="1">
      <c r="A17" s="131">
        <v>10</v>
      </c>
      <c r="B17" s="155">
        <v>9</v>
      </c>
      <c r="C17" s="163" t="s">
        <v>113</v>
      </c>
      <c r="D17" s="164"/>
      <c r="E17" s="168"/>
      <c r="F17" s="159"/>
      <c r="G17" s="163" t="s">
        <v>123</v>
      </c>
      <c r="H17" s="142"/>
      <c r="I17" s="143"/>
      <c r="J17" s="143"/>
      <c r="K17" s="167"/>
      <c r="L17" s="170"/>
      <c r="M17" s="161"/>
      <c r="N17" s="169"/>
      <c r="O17" s="2"/>
    </row>
    <row r="18" spans="1:15" ht="15.95" customHeight="1">
      <c r="A18" s="131">
        <v>11</v>
      </c>
      <c r="B18" s="155">
        <v>60</v>
      </c>
      <c r="C18" s="163" t="s">
        <v>124</v>
      </c>
      <c r="D18" s="164"/>
      <c r="E18" s="168"/>
      <c r="F18" s="159"/>
      <c r="G18" s="163" t="s">
        <v>125</v>
      </c>
      <c r="H18" s="142"/>
      <c r="I18" s="143"/>
      <c r="J18" s="143"/>
      <c r="K18" s="167"/>
      <c r="L18" s="170"/>
      <c r="M18" s="161"/>
      <c r="N18" s="169"/>
      <c r="O18" s="2"/>
    </row>
  </sheetData>
  <mergeCells count="5">
    <mergeCell ref="A7:B7"/>
    <mergeCell ref="D1:L1"/>
    <mergeCell ref="C7:D7"/>
    <mergeCell ref="E7:F7"/>
    <mergeCell ref="E4:G4"/>
  </mergeCells>
  <phoneticPr fontId="0" type="noConversion"/>
  <pageMargins left="0" right="0" top="0" bottom="0" header="0" footer="0"/>
  <pageSetup paperSize="9" fitToHeight="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G20"/>
  <sheetViews>
    <sheetView showZeros="0" tabSelected="1" zoomScale="70" zoomScaleNormal="70" workbookViewId="0">
      <selection activeCell="AI12" sqref="AI12"/>
    </sheetView>
  </sheetViews>
  <sheetFormatPr baseColWidth="10" defaultRowHeight="15.75"/>
  <cols>
    <col min="1" max="1" width="15.109375" customWidth="1"/>
    <col min="2" max="2" width="6.6640625" customWidth="1"/>
    <col min="3" max="3" width="13.77734375" customWidth="1"/>
    <col min="4" max="4" width="23.77734375" customWidth="1"/>
    <col min="5" max="5" width="7.88671875" customWidth="1"/>
    <col min="6" max="6" width="10.77734375" customWidth="1"/>
    <col min="7" max="7" width="9.109375" bestFit="1" customWidth="1"/>
    <col min="8" max="8" width="6.44140625" customWidth="1"/>
    <col min="9" max="9" width="8.33203125" hidden="1" customWidth="1"/>
    <col min="10" max="10" width="11.33203125" bestFit="1" customWidth="1"/>
    <col min="11" max="11" width="10" customWidth="1"/>
    <col min="12" max="12" width="7.44140625" customWidth="1"/>
    <col min="13" max="13" width="5.5546875" customWidth="1"/>
    <col min="14" max="28" width="12" hidden="1" customWidth="1"/>
    <col min="29" max="29" width="13.33203125" customWidth="1"/>
    <col min="30" max="31" width="9.44140625" hidden="1" customWidth="1"/>
    <col min="32" max="32" width="9.44140625" style="73" customWidth="1"/>
    <col min="33" max="33" width="12.21875" customWidth="1"/>
  </cols>
  <sheetData>
    <row r="1" spans="1:33" ht="16.5" thickBot="1"/>
    <row r="2" spans="1:33" ht="34.5" customHeight="1" thickTop="1" thickBot="1">
      <c r="B2" s="215" t="s">
        <v>129</v>
      </c>
      <c r="C2" s="216"/>
      <c r="D2" s="209" t="str">
        <f>Datos!C1</f>
        <v>XIV RAID HÍPICO RINCON DE ADEMUZ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10"/>
      <c r="AG2" s="3"/>
    </row>
    <row r="3" spans="1:33" ht="16.5" thickTop="1">
      <c r="B3" s="217"/>
      <c r="C3" s="218"/>
      <c r="D3" s="29"/>
      <c r="E3" s="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5"/>
      <c r="AC3" s="5"/>
      <c r="AD3" s="29"/>
      <c r="AE3" s="29"/>
      <c r="AF3" s="71">
        <f>SUM(C3:AD3)</f>
        <v>0</v>
      </c>
      <c r="AG3" s="3"/>
    </row>
    <row r="4" spans="1:33" ht="16.5" thickBot="1">
      <c r="B4" s="219"/>
      <c r="C4" s="220"/>
      <c r="D4" s="28" t="s">
        <v>128</v>
      </c>
      <c r="E4" s="3"/>
      <c r="F4" s="28"/>
      <c r="G4" s="28"/>
      <c r="H4" s="28"/>
      <c r="I4" s="28"/>
      <c r="J4" s="214" t="s">
        <v>126</v>
      </c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8"/>
      <c r="AE4" s="28"/>
      <c r="AF4" s="178" t="s">
        <v>127</v>
      </c>
      <c r="AG4" s="3"/>
    </row>
    <row r="5" spans="1:33" ht="16.5" thickBot="1">
      <c r="D5" s="28"/>
      <c r="E5" s="3"/>
      <c r="F5" s="28"/>
      <c r="G5" s="28"/>
      <c r="H5" s="28"/>
      <c r="I5" s="174">
        <f>Datos!M8</f>
        <v>15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"/>
      <c r="AC5" s="3"/>
      <c r="AD5" s="28"/>
      <c r="AE5" s="28"/>
      <c r="AF5" s="71"/>
      <c r="AG5" s="3"/>
    </row>
    <row r="6" spans="1:33" ht="20.25" customHeight="1" thickTop="1" thickBot="1">
      <c r="A6" s="9"/>
      <c r="D6" s="69" t="s">
        <v>75</v>
      </c>
      <c r="E6" s="213" t="str">
        <f>Datos!M6</f>
        <v>ESCALONADA</v>
      </c>
      <c r="F6" s="213"/>
      <c r="G6" s="30" t="s">
        <v>90</v>
      </c>
      <c r="H6" s="173">
        <f>Datos!M18</f>
        <v>0</v>
      </c>
      <c r="I6" s="173"/>
      <c r="J6" s="174" t="str">
        <f>Datos!M1</f>
        <v>CEA 40</v>
      </c>
      <c r="K6" s="33" t="s">
        <v>66</v>
      </c>
      <c r="L6" s="139">
        <v>40</v>
      </c>
      <c r="M6" s="32" t="s">
        <v>45</v>
      </c>
      <c r="N6" s="32"/>
      <c r="O6" s="34"/>
      <c r="P6" s="101" t="str">
        <f>+Datos!M2</f>
        <v>Ademuz</v>
      </c>
      <c r="Q6" s="81"/>
      <c r="R6" s="82"/>
      <c r="S6" s="82"/>
      <c r="T6" s="81"/>
      <c r="U6" s="76"/>
      <c r="V6" s="76"/>
      <c r="W6" s="81" t="s">
        <v>77</v>
      </c>
      <c r="X6" s="76"/>
      <c r="Y6" s="76"/>
      <c r="Z6" s="76"/>
      <c r="AA6" s="76"/>
      <c r="AB6" s="117">
        <f>Datos!$M$3</f>
        <v>44373</v>
      </c>
      <c r="AC6" s="76"/>
      <c r="AD6" s="76">
        <f>+Datos!M5</f>
        <v>2.0833333333333332E-2</v>
      </c>
      <c r="AE6" s="35"/>
      <c r="AF6" s="31" t="s">
        <v>21</v>
      </c>
      <c r="AG6" s="10"/>
    </row>
    <row r="7" spans="1:33" ht="16.5" thickBot="1">
      <c r="A7" s="9"/>
      <c r="B7" s="28"/>
      <c r="C7" s="2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"/>
      <c r="AC7" s="7"/>
      <c r="AD7" s="75"/>
      <c r="AE7" s="37"/>
      <c r="AF7" s="72" t="s">
        <v>76</v>
      </c>
      <c r="AG7" s="3"/>
    </row>
    <row r="8" spans="1:33" ht="19.5" thickTop="1" thickBot="1">
      <c r="A8" s="180" t="s">
        <v>100</v>
      </c>
      <c r="B8" s="38" t="s">
        <v>65</v>
      </c>
      <c r="C8" s="39"/>
      <c r="D8" s="20"/>
      <c r="E8" s="211" t="s">
        <v>78</v>
      </c>
      <c r="F8" s="212"/>
      <c r="G8" s="68" t="s">
        <v>83</v>
      </c>
      <c r="H8" s="176" t="s">
        <v>97</v>
      </c>
      <c r="I8" s="144">
        <f>Datos!M10</f>
        <v>2.0833333333333332E-2</v>
      </c>
      <c r="J8" s="211" t="s">
        <v>67</v>
      </c>
      <c r="K8" s="212"/>
      <c r="L8" s="177" t="s">
        <v>97</v>
      </c>
      <c r="M8" s="176" t="s">
        <v>97</v>
      </c>
      <c r="N8" s="147">
        <f>Datos!M12</f>
        <v>0</v>
      </c>
      <c r="O8" s="211" t="s">
        <v>79</v>
      </c>
      <c r="P8" s="212"/>
      <c r="Q8" s="68" t="s">
        <v>83</v>
      </c>
      <c r="R8" s="45">
        <f>Datos!M13</f>
        <v>0</v>
      </c>
      <c r="S8" s="149">
        <f>Datos!M14</f>
        <v>0</v>
      </c>
      <c r="T8" s="211" t="s">
        <v>86</v>
      </c>
      <c r="U8" s="212"/>
      <c r="V8" s="68" t="s">
        <v>83</v>
      </c>
      <c r="W8" s="45" t="str">
        <f>Datos!B11</f>
        <v/>
      </c>
      <c r="X8" s="211" t="s">
        <v>87</v>
      </c>
      <c r="Y8" s="212"/>
      <c r="Z8" s="68" t="s">
        <v>83</v>
      </c>
      <c r="AA8" s="45" t="str">
        <f>Datos!B12</f>
        <v/>
      </c>
      <c r="AB8" s="38" t="s">
        <v>82</v>
      </c>
      <c r="AC8" s="38" t="s">
        <v>68</v>
      </c>
      <c r="AD8" s="100" t="s">
        <v>68</v>
      </c>
      <c r="AE8" s="38" t="s">
        <v>68</v>
      </c>
      <c r="AF8" s="100" t="s">
        <v>69</v>
      </c>
      <c r="AG8" s="207" t="s">
        <v>84</v>
      </c>
    </row>
    <row r="9" spans="1:33" ht="20.25" thickTop="1" thickBot="1">
      <c r="A9" s="181" t="s">
        <v>60</v>
      </c>
      <c r="B9" s="40" t="s">
        <v>64</v>
      </c>
      <c r="C9" s="41" t="s">
        <v>58</v>
      </c>
      <c r="D9" s="42" t="s">
        <v>63</v>
      </c>
      <c r="E9" s="126" t="s">
        <v>72</v>
      </c>
      <c r="F9" s="127" t="s">
        <v>73</v>
      </c>
      <c r="G9" s="126" t="s">
        <v>70</v>
      </c>
      <c r="H9" s="128" t="s">
        <v>71</v>
      </c>
      <c r="I9" s="145" t="s">
        <v>98</v>
      </c>
      <c r="J9" s="126" t="s">
        <v>72</v>
      </c>
      <c r="K9" s="127" t="s">
        <v>73</v>
      </c>
      <c r="L9" s="126" t="s">
        <v>70</v>
      </c>
      <c r="M9" s="128" t="s">
        <v>71</v>
      </c>
      <c r="N9" s="148" t="s">
        <v>98</v>
      </c>
      <c r="O9" s="126" t="s">
        <v>72</v>
      </c>
      <c r="P9" s="127" t="s">
        <v>73</v>
      </c>
      <c r="Q9" s="126" t="s">
        <v>70</v>
      </c>
      <c r="R9" s="128" t="s">
        <v>71</v>
      </c>
      <c r="S9" s="150" t="s">
        <v>98</v>
      </c>
      <c r="T9" s="126" t="s">
        <v>72</v>
      </c>
      <c r="U9" s="127" t="s">
        <v>73</v>
      </c>
      <c r="V9" s="126" t="s">
        <v>70</v>
      </c>
      <c r="W9" s="128" t="s">
        <v>71</v>
      </c>
      <c r="X9" s="126" t="s">
        <v>72</v>
      </c>
      <c r="Y9" s="127" t="s">
        <v>73</v>
      </c>
      <c r="Z9" s="126" t="s">
        <v>70</v>
      </c>
      <c r="AA9" s="128" t="s">
        <v>71</v>
      </c>
      <c r="AB9" s="40" t="s">
        <v>88</v>
      </c>
      <c r="AC9" s="40" t="s">
        <v>89</v>
      </c>
      <c r="AD9" s="129" t="s">
        <v>59</v>
      </c>
      <c r="AE9" s="40" t="s">
        <v>74</v>
      </c>
      <c r="AF9" s="130" t="s">
        <v>71</v>
      </c>
      <c r="AG9" s="208"/>
    </row>
    <row r="10" spans="1:33" ht="24" customHeight="1">
      <c r="A10" s="182">
        <v>0.3621759259259259</v>
      </c>
      <c r="B10" s="132">
        <f>Matrículas!B17</f>
        <v>9</v>
      </c>
      <c r="C10" s="137" t="str">
        <f>Matrículas!G17</f>
        <v>FURIA</v>
      </c>
      <c r="D10" s="137" t="str">
        <f>Matrículas!C17</f>
        <v xml:space="preserve">CELIA CHISVERT </v>
      </c>
      <c r="E10" s="133">
        <v>0.42313657407407407</v>
      </c>
      <c r="F10" s="133">
        <v>0.42646990740740742</v>
      </c>
      <c r="G10" s="133">
        <f>IF(E10=":     :","       :       :     ",(E10-A10))</f>
        <v>6.0960648148148167E-2</v>
      </c>
      <c r="H10" s="134">
        <f>IF(E10=":     :","        ",(Datos!M$9/G10)/24)</f>
        <v>13.670020884754125</v>
      </c>
      <c r="I10" s="146">
        <f>+F10+$I$8</f>
        <v>0.44730324074074074</v>
      </c>
      <c r="J10" s="179">
        <v>0.50299768518518517</v>
      </c>
      <c r="K10" s="179">
        <v>0.50567129629629626</v>
      </c>
      <c r="L10" s="133">
        <f>IF(J10=":     :","       :       :        ",J10-(F10+Datos!M$10))</f>
        <v>5.5694444444444435E-2</v>
      </c>
      <c r="M10" s="134">
        <f>IF(J10=":     :","       ",(Datos!M$11/L10)/24)</f>
        <v>14.962593516209479</v>
      </c>
      <c r="N10" s="172" t="e">
        <f>+#REF!+$N$8</f>
        <v>#REF!</v>
      </c>
      <c r="O10" s="133"/>
      <c r="P10" s="133"/>
      <c r="Q10" s="133" t="e">
        <f>IF(P10=":     :","       :       :        ",P10-(#REF!+Datos!M$12))</f>
        <v>#REF!</v>
      </c>
      <c r="R10" s="134" t="e">
        <f>IF(P10=":     :","      ",(Datos!M$13/Q10)/24)</f>
        <v>#REF!</v>
      </c>
      <c r="S10" s="171">
        <f>+P10+$S$8</f>
        <v>0</v>
      </c>
      <c r="T10" s="133"/>
      <c r="U10" s="133"/>
      <c r="V10" s="133"/>
      <c r="W10" s="134"/>
      <c r="X10" s="133"/>
      <c r="Y10" s="133"/>
      <c r="Z10" s="133"/>
      <c r="AA10" s="134"/>
      <c r="AB10" s="133">
        <f>P10</f>
        <v>0</v>
      </c>
      <c r="AC10" s="135">
        <f>G10+L10</f>
        <v>0.1166550925925926</v>
      </c>
      <c r="AD10" s="133"/>
      <c r="AE10" s="135"/>
      <c r="AF10" s="136">
        <f>IF(AC10=" ","  ",(Datos!M$4/AC10)/24)</f>
        <v>14.287131659886894</v>
      </c>
      <c r="AG10" s="133">
        <f>IF(F10=":     :"," ",(F10-E10)+(K10-J10))</f>
        <v>6.0069444444444398E-3</v>
      </c>
    </row>
    <row r="11" spans="1:33" ht="24" customHeight="1">
      <c r="A11" s="182">
        <v>0.29497685185185185</v>
      </c>
      <c r="B11" s="132">
        <f>Matrículas!B15</f>
        <v>10</v>
      </c>
      <c r="C11" s="137" t="str">
        <f>Matrículas!G15</f>
        <v>MISS SOPOT</v>
      </c>
      <c r="D11" s="137" t="str">
        <f>Matrículas!C15</f>
        <v>CAMILA SMESTAD</v>
      </c>
      <c r="E11" s="133">
        <v>0.35796296296296298</v>
      </c>
      <c r="F11" s="133">
        <v>0.35981481481481481</v>
      </c>
      <c r="G11" s="133">
        <f>IF(E11=":     :","       :       :     ",(E11-A11))</f>
        <v>6.2986111111111132E-2</v>
      </c>
      <c r="H11" s="134">
        <f>IF(E11=":     :","        ",(Datos!M$9/G11)/24)</f>
        <v>13.230429988974636</v>
      </c>
      <c r="I11" s="146">
        <f>+F11+$I$8</f>
        <v>0.38064814814814812</v>
      </c>
      <c r="J11" s="179">
        <v>0.44651620370370365</v>
      </c>
      <c r="K11" s="179">
        <v>0.44629629629629625</v>
      </c>
      <c r="L11" s="133">
        <f>IF(J11=":     :","       :       :        ",J11-(F11+Datos!M$10))</f>
        <v>6.5868055555555527E-2</v>
      </c>
      <c r="M11" s="134">
        <f>IF(J11=":     :","       ",(Datos!M$11/L11)/24)</f>
        <v>12.651555086979448</v>
      </c>
      <c r="N11" s="172" t="e">
        <f>+#REF!+$N$8</f>
        <v>#REF!</v>
      </c>
      <c r="O11" s="133"/>
      <c r="P11" s="133"/>
      <c r="Q11" s="133" t="e">
        <f>IF(P11=":     :","       :       :        ",P11-(#REF!+Datos!M$12))</f>
        <v>#REF!</v>
      </c>
      <c r="R11" s="134" t="e">
        <f>IF(P11=":     :","      ",(Datos!M$13/Q11)/24)</f>
        <v>#REF!</v>
      </c>
      <c r="S11" s="171">
        <f>+P11+$S$8</f>
        <v>0</v>
      </c>
      <c r="T11" s="133"/>
      <c r="U11" s="133"/>
      <c r="V11" s="133"/>
      <c r="W11" s="134"/>
      <c r="X11" s="133"/>
      <c r="Y11" s="133"/>
      <c r="Z11" s="133"/>
      <c r="AA11" s="134"/>
      <c r="AB11" s="133">
        <f>P11</f>
        <v>0</v>
      </c>
      <c r="AC11" s="135">
        <f>G11+L11</f>
        <v>0.12885416666666666</v>
      </c>
      <c r="AD11" s="133"/>
      <c r="AE11" s="135"/>
      <c r="AF11" s="136">
        <f>IF(AC11=" ","  ",(Datos!M$4/AC11)/24)</f>
        <v>12.934518997574779</v>
      </c>
      <c r="AG11" s="133">
        <f>IF(F11=":     :"," ",(F11-E11)+(K11-J11))</f>
        <v>1.631944444444422E-3</v>
      </c>
    </row>
    <row r="12" spans="1:33" ht="24" customHeight="1">
      <c r="A12" s="182">
        <v>0.29496527777777776</v>
      </c>
      <c r="B12" s="132">
        <f>Matrículas!B16</f>
        <v>11</v>
      </c>
      <c r="C12" s="137" t="str">
        <f>Matrículas!G16</f>
        <v>PANAMERA</v>
      </c>
      <c r="D12" s="137" t="str">
        <f>Matrículas!C16</f>
        <v>CHRISTIAN FERNANDEZ</v>
      </c>
      <c r="E12" s="133">
        <v>0.35725694444444445</v>
      </c>
      <c r="F12" s="133">
        <v>0.35980324074074077</v>
      </c>
      <c r="G12" s="133">
        <f>IF(E12=":     :","       :       :     ",(E12-A12))</f>
        <v>6.229166666666669E-2</v>
      </c>
      <c r="H12" s="134">
        <f>IF(E12=":     :","        ",(Datos!M$9/G12)/24)</f>
        <v>13.377926421404679</v>
      </c>
      <c r="I12" s="146">
        <f>+F12+$I$8</f>
        <v>0.38063657407407409</v>
      </c>
      <c r="J12" s="179">
        <v>0.44511574074074073</v>
      </c>
      <c r="K12" s="179">
        <v>0.4463078703703704</v>
      </c>
      <c r="L12" s="133">
        <f>IF(J12=":     :","       :       :        ",J12-(F12+Datos!M$10))</f>
        <v>6.4479166666666643E-2</v>
      </c>
      <c r="M12" s="134">
        <f>IF(J12=":     :","       ",(Datos!M$11/L12)/24)</f>
        <v>12.924071082390958</v>
      </c>
      <c r="N12" s="172" t="e">
        <f>+#REF!+$N$8</f>
        <v>#REF!</v>
      </c>
      <c r="O12" s="133"/>
      <c r="P12" s="133"/>
      <c r="Q12" s="133" t="e">
        <f>IF(P12=":     :","       :       :        ",P12-(#REF!+Datos!M$12))</f>
        <v>#REF!</v>
      </c>
      <c r="R12" s="134" t="e">
        <f>IF(P12=":     :","      ",(Datos!M$13/Q12)/24)</f>
        <v>#REF!</v>
      </c>
      <c r="S12" s="171">
        <f>+P12+$S$8</f>
        <v>0</v>
      </c>
      <c r="T12" s="133"/>
      <c r="U12" s="133"/>
      <c r="V12" s="133"/>
      <c r="W12" s="134"/>
      <c r="X12" s="133"/>
      <c r="Y12" s="133"/>
      <c r="Z12" s="133"/>
      <c r="AA12" s="134"/>
      <c r="AB12" s="133">
        <f>P12</f>
        <v>0</v>
      </c>
      <c r="AC12" s="135">
        <f>G12+L12</f>
        <v>0.12677083333333333</v>
      </c>
      <c r="AD12" s="133"/>
      <c r="AE12" s="135"/>
      <c r="AF12" s="136">
        <f>IF(AC12=" ","  ",(Datos!M$4/AC12)/24)</f>
        <v>13.14708299096138</v>
      </c>
      <c r="AG12" s="133">
        <f>IF(F12=":     :"," ",(F12-E12)+(K12-J12))</f>
        <v>3.7384259259259922E-3</v>
      </c>
    </row>
    <row r="13" spans="1:33" ht="24" customHeight="1">
      <c r="A13" s="182">
        <v>0.36216435185185186</v>
      </c>
      <c r="B13" s="132">
        <f>Matrículas!B14</f>
        <v>12</v>
      </c>
      <c r="C13" s="137" t="str">
        <f>Matrículas!G14</f>
        <v>ABZ ALEPO</v>
      </c>
      <c r="D13" s="137" t="str">
        <f>Matrículas!C14</f>
        <v>CANDELA HERNANI</v>
      </c>
      <c r="E13" s="133">
        <v>0.42236111111111113</v>
      </c>
      <c r="F13" s="133">
        <v>0.4253703703703704</v>
      </c>
      <c r="G13" s="133">
        <f>IF(E13=":     :","       :       :     ",(E13-A13))</f>
        <v>6.0196759259259269E-2</v>
      </c>
      <c r="H13" s="134">
        <f>IF(E13=":     :","        ",(Datos!M$9/G13)/24)</f>
        <v>13.843491636223801</v>
      </c>
      <c r="I13" s="146">
        <f>+F13+$I$8</f>
        <v>0.44620370370370371</v>
      </c>
      <c r="J13" s="179">
        <v>0.50302083333333336</v>
      </c>
      <c r="K13" s="179">
        <v>0.50747685185185187</v>
      </c>
      <c r="L13" s="133">
        <f>IF(J13=":     :","       :       :        ",J13-(F13+Datos!M$10))</f>
        <v>5.6817129629629648E-2</v>
      </c>
      <c r="M13" s="134">
        <f>IF(J13=":     :","       ",(Datos!M$11/L13)/24)</f>
        <v>14.666938276634747</v>
      </c>
      <c r="N13" s="172" t="e">
        <f>+#REF!+$N$8</f>
        <v>#REF!</v>
      </c>
      <c r="O13" s="133"/>
      <c r="P13" s="133"/>
      <c r="Q13" s="133" t="e">
        <f>IF(P13=":     :","       :       :        ",P13-(#REF!+Datos!M$12))</f>
        <v>#REF!</v>
      </c>
      <c r="R13" s="134" t="e">
        <f>IF(P13=":     :","      ",(Datos!M$13/Q13)/24)</f>
        <v>#REF!</v>
      </c>
      <c r="S13" s="171">
        <f>+P13+$S$8</f>
        <v>0</v>
      </c>
      <c r="T13" s="133"/>
      <c r="U13" s="133"/>
      <c r="V13" s="133"/>
      <c r="W13" s="134"/>
      <c r="X13" s="133"/>
      <c r="Y13" s="133"/>
      <c r="Z13" s="133"/>
      <c r="AA13" s="134"/>
      <c r="AB13" s="133">
        <f>P13</f>
        <v>0</v>
      </c>
      <c r="AC13" s="135">
        <f>G13+L13</f>
        <v>0.11701388888888892</v>
      </c>
      <c r="AD13" s="133"/>
      <c r="AE13" s="135"/>
      <c r="AF13" s="136">
        <f>IF(AC13=" ","  ",(Datos!M$4/AC13)/24)</f>
        <v>14.243323442136495</v>
      </c>
      <c r="AG13" s="133">
        <f>IF(F13=":     :"," ",(F13-E13)+(K13-J13))</f>
        <v>7.465277777777779E-3</v>
      </c>
    </row>
    <row r="14" spans="1:33" ht="24" customHeight="1">
      <c r="A14" s="182">
        <v>0.36215277777777777</v>
      </c>
      <c r="B14" s="132">
        <f>Matrículas!B13</f>
        <v>13</v>
      </c>
      <c r="C14" s="137" t="str">
        <f>Matrículas!G13</f>
        <v>PECK DE PEÑAFLOR</v>
      </c>
      <c r="D14" s="137" t="str">
        <f>Matrículas!C13</f>
        <v>DIEGO SENENT</v>
      </c>
      <c r="E14" s="133">
        <v>0.42237268518518517</v>
      </c>
      <c r="F14" s="133">
        <v>0.42608796296296297</v>
      </c>
      <c r="G14" s="133">
        <f>IF(E14=":     :","       :       :     ",(E14-A14))</f>
        <v>6.0219907407407403E-2</v>
      </c>
      <c r="H14" s="134">
        <f>IF(E14=":     :","        ",(Datos!M$9/G14)/24)</f>
        <v>13.838170286373247</v>
      </c>
      <c r="I14" s="146">
        <f>+F14+$I$8</f>
        <v>0.44692129629629629</v>
      </c>
      <c r="J14" s="179">
        <v>0.50300925925925932</v>
      </c>
      <c r="K14" s="179">
        <v>0.50749999999999995</v>
      </c>
      <c r="L14" s="133">
        <f>IF(J14=":     :","       :       :        ",J14-(F14+Datos!M$10))</f>
        <v>5.6087962962963034E-2</v>
      </c>
      <c r="M14" s="134">
        <f>IF(J14=":     :","       ",(Datos!M$11/L14)/24)</f>
        <v>14.857614527445298</v>
      </c>
      <c r="N14" s="172" t="e">
        <f>+#REF!+$N$8</f>
        <v>#REF!</v>
      </c>
      <c r="O14" s="133"/>
      <c r="P14" s="133"/>
      <c r="Q14" s="133" t="e">
        <f>IF(P14=":     :","       :       :        ",P14-(#REF!+Datos!M$12))</f>
        <v>#REF!</v>
      </c>
      <c r="R14" s="134" t="e">
        <f>IF(P14=":     :","      ",(Datos!M$13/Q14)/24)</f>
        <v>#REF!</v>
      </c>
      <c r="S14" s="171">
        <f>+P14+$S$8</f>
        <v>0</v>
      </c>
      <c r="T14" s="133"/>
      <c r="U14" s="133"/>
      <c r="V14" s="133"/>
      <c r="W14" s="134"/>
      <c r="X14" s="133"/>
      <c r="Y14" s="133"/>
      <c r="Z14" s="133"/>
      <c r="AA14" s="134"/>
      <c r="AB14" s="133">
        <f>P14</f>
        <v>0</v>
      </c>
      <c r="AC14" s="135">
        <f>G14+L14</f>
        <v>0.11630787037037044</v>
      </c>
      <c r="AD14" s="133"/>
      <c r="AE14" s="135"/>
      <c r="AF14" s="136">
        <f>IF(AC14=" ","  ",(Datos!M$4/AC14)/24)</f>
        <v>14.329784058115228</v>
      </c>
      <c r="AG14" s="133">
        <f>IF(F14=":     :"," ",(F14-E14)+(K14-J14))</f>
        <v>8.206018518518432E-3</v>
      </c>
    </row>
    <row r="15" spans="1:33" ht="24" customHeight="1">
      <c r="A15" s="182">
        <v>0.36214120370370373</v>
      </c>
      <c r="B15" s="132">
        <f>Matrículas!B12</f>
        <v>14</v>
      </c>
      <c r="C15" s="137" t="str">
        <f>Matrículas!G12</f>
        <v>KENIA EA</v>
      </c>
      <c r="D15" s="137" t="str">
        <f>Matrículas!C12</f>
        <v xml:space="preserve">BEATRIZ PINOS </v>
      </c>
      <c r="E15" s="133">
        <v>0.42234953703703698</v>
      </c>
      <c r="F15" s="133">
        <v>0.42341435185185183</v>
      </c>
      <c r="G15" s="133">
        <f>IF(E15=":     :","       :       :     ",(E15-A15))</f>
        <v>6.0208333333333253E-2</v>
      </c>
      <c r="H15" s="134">
        <f>IF(E15=":     :","        ",(Datos!M$9/G15)/24)</f>
        <v>13.840830449827008</v>
      </c>
      <c r="I15" s="146">
        <f>+F15+$I$8</f>
        <v>0.44424768518518515</v>
      </c>
      <c r="J15" s="179">
        <v>0.50297453703703698</v>
      </c>
      <c r="K15" s="179">
        <v>0.50416666666666665</v>
      </c>
      <c r="L15" s="133">
        <f>IF(J15=":     :","       :       :        ",J15-(F15+Datos!M$10))</f>
        <v>5.8726851851851836E-2</v>
      </c>
      <c r="M15" s="134">
        <f>IF(J15=":     :","       ",(Datos!M$11/L15)/24)</f>
        <v>14.189988175009859</v>
      </c>
      <c r="N15" s="172" t="e">
        <f>+#REF!+$N$8</f>
        <v>#REF!</v>
      </c>
      <c r="O15" s="133"/>
      <c r="P15" s="133"/>
      <c r="Q15" s="133" t="e">
        <f>IF(P15=":     :","       :       :        ",P15-(#REF!+Datos!M$12))</f>
        <v>#REF!</v>
      </c>
      <c r="R15" s="134" t="e">
        <f>IF(P15=":     :","      ",(Datos!M$13/Q15)/24)</f>
        <v>#REF!</v>
      </c>
      <c r="S15" s="171">
        <f>+P15+$S$8</f>
        <v>0</v>
      </c>
      <c r="T15" s="133"/>
      <c r="U15" s="133"/>
      <c r="V15" s="133"/>
      <c r="W15" s="134"/>
      <c r="X15" s="133"/>
      <c r="Y15" s="133"/>
      <c r="Z15" s="133"/>
      <c r="AA15" s="134"/>
      <c r="AB15" s="133">
        <f>P15</f>
        <v>0</v>
      </c>
      <c r="AC15" s="135">
        <f>G15+L15</f>
        <v>0.11893518518518509</v>
      </c>
      <c r="AD15" s="133"/>
      <c r="AE15" s="135"/>
      <c r="AF15" s="136">
        <f>IF(AC15=" ","  ",(Datos!M$4/AC15)/24)</f>
        <v>14.013234721681599</v>
      </c>
      <c r="AG15" s="133">
        <f>IF(F15=":     :"," ",(F15-E15)+(K15-J15))</f>
        <v>2.2569444444445197E-3</v>
      </c>
    </row>
    <row r="16" spans="1:33" ht="24" customHeight="1">
      <c r="A16" s="182">
        <v>0.36212962962962963</v>
      </c>
      <c r="B16" s="132">
        <f>Matrículas!B11</f>
        <v>15</v>
      </c>
      <c r="C16" s="137" t="str">
        <f>Matrículas!G11</f>
        <v>TRA ONA</v>
      </c>
      <c r="D16" s="137" t="str">
        <f>Matrículas!C11</f>
        <v>DAVID PEREZ</v>
      </c>
      <c r="E16" s="133">
        <v>0.42233796296296294</v>
      </c>
      <c r="F16" s="133">
        <v>0.42342592592592593</v>
      </c>
      <c r="G16" s="133">
        <f>IF(E16=":     :","       :       :     ",(E16-A16))</f>
        <v>6.0208333333333308E-2</v>
      </c>
      <c r="H16" s="134">
        <f>IF(E16=":     :","        ",(Datos!M$9/G16)/24)</f>
        <v>13.840830449826996</v>
      </c>
      <c r="I16" s="146">
        <f>+F16+$I$8</f>
        <v>0.44425925925925924</v>
      </c>
      <c r="J16" s="179">
        <v>0.50295138888888891</v>
      </c>
      <c r="K16" s="179">
        <v>0.50428240740740737</v>
      </c>
      <c r="L16" s="133">
        <f>IF(J16=":     :","       :       :        ",J16-(F16+Datos!M$10))</f>
        <v>5.8692129629629664E-2</v>
      </c>
      <c r="M16" s="134">
        <f>IF(J16=":     :","       ",(Datos!M$11/L16)/24)</f>
        <v>14.198382961940437</v>
      </c>
      <c r="N16" s="172" t="e">
        <f>+#REF!+$N$8</f>
        <v>#REF!</v>
      </c>
      <c r="O16" s="133"/>
      <c r="P16" s="133"/>
      <c r="Q16" s="133" t="e">
        <f>IF(P16=":     :","       :       :        ",P16-(#REF!+Datos!M$12))</f>
        <v>#REF!</v>
      </c>
      <c r="R16" s="134" t="e">
        <f>IF(P16=":     :","      ",(Datos!M$13/Q16)/24)</f>
        <v>#REF!</v>
      </c>
      <c r="S16" s="171">
        <f>+P16+$S$8</f>
        <v>0</v>
      </c>
      <c r="T16" s="133"/>
      <c r="U16" s="133"/>
      <c r="V16" s="133"/>
      <c r="W16" s="134"/>
      <c r="X16" s="133"/>
      <c r="Y16" s="133"/>
      <c r="Z16" s="133"/>
      <c r="AA16" s="134"/>
      <c r="AB16" s="133">
        <f>P16</f>
        <v>0</v>
      </c>
      <c r="AC16" s="135">
        <f>G16+L16</f>
        <v>0.11890046296296297</v>
      </c>
      <c r="AD16" s="133"/>
      <c r="AE16" s="135"/>
      <c r="AF16" s="136">
        <f>IF(AC16=" ","  ",(Datos!M$4/AC16)/24)</f>
        <v>14.01732697362017</v>
      </c>
      <c r="AG16" s="133">
        <f>IF(F16=":     :"," ",(F16-E16)+(K16-J16))</f>
        <v>2.4189814814814525E-3</v>
      </c>
    </row>
    <row r="17" spans="1:33" ht="24" customHeight="1">
      <c r="A17" s="182">
        <v>0.3621180555555556</v>
      </c>
      <c r="B17" s="132">
        <f>Matrículas!B10</f>
        <v>16</v>
      </c>
      <c r="C17" s="137" t="str">
        <f>Matrículas!G10</f>
        <v>ARVEJONA</v>
      </c>
      <c r="D17" s="137" t="str">
        <f>Matrículas!C10</f>
        <v>MAR PEREZ</v>
      </c>
      <c r="E17" s="133">
        <v>0.42315972222222226</v>
      </c>
      <c r="F17" s="133">
        <v>0.42645833333333333</v>
      </c>
      <c r="G17" s="133">
        <f>IF(E17=":     :","       :       :     ",(E17-A17))</f>
        <v>6.1041666666666661E-2</v>
      </c>
      <c r="H17" s="134">
        <f>IF(E17=":     :","        ",(Datos!M$9/G17)/24)</f>
        <v>13.651877133105804</v>
      </c>
      <c r="I17" s="146">
        <f>+F17+$I$8</f>
        <v>0.44729166666666664</v>
      </c>
      <c r="J17" s="179">
        <v>0.50506944444444446</v>
      </c>
      <c r="K17" s="179">
        <v>0.50675925925925924</v>
      </c>
      <c r="L17" s="133">
        <f>IF(J17=":     :","       :       :        ",J17-(F17+Datos!M$10))</f>
        <v>5.7777777777777817E-2</v>
      </c>
      <c r="M17" s="134">
        <f>IF(J17=":     :","       ",(Datos!M$11/L17)/24)</f>
        <v>14.423076923076913</v>
      </c>
      <c r="N17" s="172" t="e">
        <f>+#REF!+$N$8</f>
        <v>#REF!</v>
      </c>
      <c r="O17" s="133"/>
      <c r="P17" s="133"/>
      <c r="Q17" s="133" t="e">
        <f>IF(P17=":     :","       :       :        ",P17-(#REF!+Datos!M$12))</f>
        <v>#REF!</v>
      </c>
      <c r="R17" s="134" t="e">
        <f>IF(P17=":     :","      ",(Datos!M$13/Q17)/24)</f>
        <v>#REF!</v>
      </c>
      <c r="S17" s="171">
        <f>+P17+$S$8</f>
        <v>0</v>
      </c>
      <c r="T17" s="133"/>
      <c r="U17" s="133"/>
      <c r="V17" s="133"/>
      <c r="W17" s="134"/>
      <c r="X17" s="133"/>
      <c r="Y17" s="133"/>
      <c r="Z17" s="133"/>
      <c r="AA17" s="134"/>
      <c r="AB17" s="133">
        <f>P17</f>
        <v>0</v>
      </c>
      <c r="AC17" s="135">
        <f>G17+L17</f>
        <v>0.11881944444444448</v>
      </c>
      <c r="AD17" s="133"/>
      <c r="AE17" s="135"/>
      <c r="AF17" s="136">
        <f>IF(AC17=" ","  ",(Datos!M$4/AC17)/24)</f>
        <v>14.026884862653416</v>
      </c>
      <c r="AG17" s="133">
        <f>IF(F17=":     :"," ",(F17-E17)+(K17-J17))</f>
        <v>4.9884259259258545E-3</v>
      </c>
    </row>
    <row r="18" spans="1:33" ht="24" customHeight="1">
      <c r="A18" s="182">
        <v>0.29218749999999999</v>
      </c>
      <c r="B18" s="132">
        <f>Matrículas!B9</f>
        <v>17</v>
      </c>
      <c r="C18" s="137" t="str">
        <f>Matrículas!G9</f>
        <v>CAPOTE</v>
      </c>
      <c r="D18" s="137" t="str">
        <f>Matrículas!C9</f>
        <v>RAFAEL GENOVART</v>
      </c>
      <c r="E18" s="133">
        <v>0.34841435185185188</v>
      </c>
      <c r="F18" s="133">
        <v>0.35659722222222223</v>
      </c>
      <c r="G18" s="133">
        <f>IF(E18=":     :","       :       :     ",(E18-A18))</f>
        <v>5.6226851851851889E-2</v>
      </c>
      <c r="H18" s="134">
        <f>IF(E18=":     :","        ",(Datos!M$9/G18)/24)</f>
        <v>14.820913956360632</v>
      </c>
      <c r="I18" s="146">
        <f>+F18+$I$8</f>
        <v>0.37743055555555555</v>
      </c>
      <c r="J18" s="179">
        <v>0.4448611111111111</v>
      </c>
      <c r="K18" s="179">
        <v>0.44421296296296298</v>
      </c>
      <c r="L18" s="133">
        <f>IF(J18=":     :","       :       :        ",J18-(F18+Datos!M$10))</f>
        <v>6.7430555555555549E-2</v>
      </c>
      <c r="M18" s="134">
        <f>IF(J18=":     :","       ",(Datos!M$11/L18)/24)</f>
        <v>12.35839340885685</v>
      </c>
      <c r="N18" s="172" t="e">
        <f>+#REF!+$N$8</f>
        <v>#REF!</v>
      </c>
      <c r="O18" s="133"/>
      <c r="P18" s="133"/>
      <c r="Q18" s="133" t="e">
        <f>IF(P18=":     :","       :       :        ",P18-(#REF!+Datos!M$12))</f>
        <v>#REF!</v>
      </c>
      <c r="R18" s="134" t="e">
        <f>IF(P18=":     :","      ",(Datos!M$13/Q18)/24)</f>
        <v>#REF!</v>
      </c>
      <c r="S18" s="171">
        <f>+P18+$S$8</f>
        <v>0</v>
      </c>
      <c r="T18" s="133"/>
      <c r="U18" s="133"/>
      <c r="V18" s="133"/>
      <c r="W18" s="134"/>
      <c r="X18" s="133"/>
      <c r="Y18" s="133"/>
      <c r="Z18" s="133"/>
      <c r="AA18" s="134"/>
      <c r="AB18" s="133">
        <f>P18</f>
        <v>0</v>
      </c>
      <c r="AC18" s="135">
        <f>G18+L18</f>
        <v>0.12365740740740744</v>
      </c>
      <c r="AD18" s="133"/>
      <c r="AE18" s="135"/>
      <c r="AF18" s="136">
        <f>IF(AC18=" ","  ",(Datos!M$4/AC18)/24)</f>
        <v>13.478098090602765</v>
      </c>
      <c r="AG18" s="133">
        <f>IF(F18=":     :"," ",(F18-E18)+(K18-J18))</f>
        <v>7.5347222222222343E-3</v>
      </c>
    </row>
    <row r="19" spans="1:33" ht="24" customHeight="1">
      <c r="A19" s="182">
        <v>0.29217592592592595</v>
      </c>
      <c r="B19" s="132">
        <f>Matrículas!B8</f>
        <v>18</v>
      </c>
      <c r="C19" s="137" t="str">
        <f>Matrículas!G8</f>
        <v>DIEGO DE LARCY</v>
      </c>
      <c r="D19" s="137" t="str">
        <f>Matrículas!C8</f>
        <v>CATI MAS MUNTANER</v>
      </c>
      <c r="E19" s="133">
        <v>0.34840277777777778</v>
      </c>
      <c r="F19" s="133">
        <v>0.35057870370370375</v>
      </c>
      <c r="G19" s="133">
        <f>IF(E19=":     :","       :       :     ",(E19-A19))</f>
        <v>5.6226851851851833E-2</v>
      </c>
      <c r="H19" s="134">
        <f>IF(E19=":     :","        ",(Datos!M$9/G19)/24)</f>
        <v>14.820913956360647</v>
      </c>
      <c r="I19" s="146">
        <f>+F19+$I$8</f>
        <v>0.37141203703703707</v>
      </c>
      <c r="J19" s="179">
        <v>0.44484953703703706</v>
      </c>
      <c r="K19" s="179">
        <v>0.44340277777777781</v>
      </c>
      <c r="L19" s="133">
        <f>IF(J19=":     :","       :       :        ",J19-(F19+Datos!M$10))</f>
        <v>7.3437499999999989E-2</v>
      </c>
      <c r="M19" s="134">
        <f>IF(J19=":     :","       ",(Datos!M$11/L19)/24)</f>
        <v>11.347517730496456</v>
      </c>
      <c r="N19" s="172" t="e">
        <f>+#REF!+$N$8</f>
        <v>#REF!</v>
      </c>
      <c r="O19" s="133"/>
      <c r="P19" s="133"/>
      <c r="Q19" s="133" t="e">
        <f>IF(P19=":     :","       :       :        ",P19-(#REF!+Datos!M$12))</f>
        <v>#REF!</v>
      </c>
      <c r="R19" s="134" t="e">
        <f>IF(P19=":     :","      ",(Datos!M$13/Q19)/24)</f>
        <v>#REF!</v>
      </c>
      <c r="S19" s="171">
        <f>+P19+$S$8</f>
        <v>0</v>
      </c>
      <c r="T19" s="133"/>
      <c r="U19" s="133"/>
      <c r="V19" s="133"/>
      <c r="W19" s="134"/>
      <c r="X19" s="133"/>
      <c r="Y19" s="133"/>
      <c r="Z19" s="133"/>
      <c r="AA19" s="134"/>
      <c r="AB19" s="133">
        <f>P19</f>
        <v>0</v>
      </c>
      <c r="AC19" s="135">
        <f>G19+L19</f>
        <v>0.12966435185185182</v>
      </c>
      <c r="AD19" s="133"/>
      <c r="AE19" s="135"/>
      <c r="AF19" s="136">
        <f>IF(AC19=" ","  ",(Datos!M$4/AC19)/24)</f>
        <v>12.853699901812016</v>
      </c>
      <c r="AG19" s="133">
        <f>IF(F19=":     :"," ",(F19-E19)+(K19-J19))</f>
        <v>7.2916666666672514E-4</v>
      </c>
    </row>
    <row r="20" spans="1:33" ht="19.5" customHeight="1">
      <c r="A20" s="182">
        <v>0.36218750000000005</v>
      </c>
      <c r="B20" s="132">
        <f>Matrículas!B18</f>
        <v>60</v>
      </c>
      <c r="C20" s="137" t="str">
        <f>Matrículas!G18</f>
        <v>TRA OREO</v>
      </c>
      <c r="D20" s="137" t="str">
        <f>Matrículas!C18</f>
        <v>JUAN CUENCA</v>
      </c>
      <c r="E20" s="133">
        <v>0.42314814814814811</v>
      </c>
      <c r="F20" s="133">
        <v>0.42607638888888894</v>
      </c>
      <c r="G20" s="133">
        <f>IF(E20=":     :","       :       :     ",(E20-A20))</f>
        <v>6.0960648148148056E-2</v>
      </c>
      <c r="H20" s="134">
        <f>IF(E20=":     :","        ",(Datos!M$9/G20)/24)</f>
        <v>13.67002088475415</v>
      </c>
      <c r="I20" s="146">
        <f>+F20+$I$8</f>
        <v>0.44690972222222225</v>
      </c>
      <c r="J20" s="179">
        <v>0.50296296296296295</v>
      </c>
      <c r="K20" s="179">
        <v>0.50578703703703709</v>
      </c>
      <c r="L20" s="133">
        <f>IF(J20=":     :","       :       :        ",J20-(F20+Datos!M$10))</f>
        <v>5.6053240740740695E-2</v>
      </c>
      <c r="M20" s="134">
        <f>IF(J20=":     :","       ",(Datos!M$11/L20)/24)</f>
        <v>14.866818087962018</v>
      </c>
      <c r="N20" s="172" t="e">
        <f>+#REF!+$N$8</f>
        <v>#REF!</v>
      </c>
      <c r="O20" s="133"/>
      <c r="P20" s="133"/>
      <c r="Q20" s="133" t="e">
        <f>IF(P20=":     :","       :       :        ",P20-(#REF!+Datos!M$12))</f>
        <v>#REF!</v>
      </c>
      <c r="R20" s="134" t="e">
        <f>IF(P20=":     :","      ",(Datos!M$13/Q20)/24)</f>
        <v>#REF!</v>
      </c>
      <c r="S20" s="171">
        <f>+P20+$S$8</f>
        <v>0</v>
      </c>
      <c r="T20" s="133"/>
      <c r="U20" s="133"/>
      <c r="V20" s="133"/>
      <c r="W20" s="134"/>
      <c r="X20" s="133"/>
      <c r="Y20" s="133"/>
      <c r="Z20" s="133"/>
      <c r="AA20" s="134"/>
      <c r="AB20" s="133">
        <f>P20</f>
        <v>0</v>
      </c>
      <c r="AC20" s="135">
        <f>G20+L20</f>
        <v>0.11701388888888875</v>
      </c>
      <c r="AD20" s="133"/>
      <c r="AE20" s="135"/>
      <c r="AF20" s="136">
        <f>IF(AC20=" ","  ",(Datos!M$4/AC20)/24)</f>
        <v>14.243323442136514</v>
      </c>
      <c r="AG20" s="133">
        <f>IF(F20=":     :"," ",(F20-E20)+(K20-J20))</f>
        <v>5.7523148148149739E-3</v>
      </c>
    </row>
  </sheetData>
  <mergeCells count="10">
    <mergeCell ref="B2:C4"/>
    <mergeCell ref="AG8:AG9"/>
    <mergeCell ref="D2:AF2"/>
    <mergeCell ref="E8:F8"/>
    <mergeCell ref="J8:K8"/>
    <mergeCell ref="O8:P8"/>
    <mergeCell ref="T8:U8"/>
    <mergeCell ref="X8:Y8"/>
    <mergeCell ref="E6:F6"/>
    <mergeCell ref="J4:AC4"/>
  </mergeCells>
  <phoneticPr fontId="0" type="noConversion"/>
  <conditionalFormatting sqref="M11:M20">
    <cfRule type="cellIs" dxfId="8" priority="8" operator="lessThan">
      <formula>$H$5</formula>
    </cfRule>
    <cfRule type="cellIs" dxfId="7" priority="9" operator="greaterThan">
      <formula>$I$5</formula>
    </cfRule>
    <cfRule type="cellIs" dxfId="6" priority="17" operator="greaterThan">
      <formula>16</formula>
    </cfRule>
  </conditionalFormatting>
  <conditionalFormatting sqref="R10:R20">
    <cfRule type="cellIs" dxfId="5" priority="6" operator="lessThan">
      <formula>$H$5</formula>
    </cfRule>
    <cfRule type="cellIs" dxfId="4" priority="7" operator="greaterThan">
      <formula>$I$5</formula>
    </cfRule>
    <cfRule type="cellIs" dxfId="3" priority="16" operator="greaterThan">
      <formula>16</formula>
    </cfRule>
  </conditionalFormatting>
  <conditionalFormatting sqref="M10:M20">
    <cfRule type="cellIs" dxfId="2" priority="1" operator="lessThan">
      <formula>$H$5</formula>
    </cfRule>
    <cfRule type="cellIs" dxfId="1" priority="2" operator="greaterThan">
      <formula>$I$5</formula>
    </cfRule>
    <cfRule type="cellIs" dxfId="0" priority="3" operator="greaterThan">
      <formula>16</formula>
    </cfRule>
  </conditionalFormatting>
  <printOptions horizontalCentered="1"/>
  <pageMargins left="0" right="0.19685039370078741" top="0" bottom="0" header="0" footer="0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Datos</vt:lpstr>
      <vt:lpstr>Matrículas</vt:lpstr>
      <vt:lpstr>Resultados</vt:lpstr>
      <vt:lpstr>Datos!Área_de_impresión</vt:lpstr>
      <vt:lpstr>Matrículas!Área_de_impresión</vt:lpstr>
      <vt:lpstr>Resultados!Área_de_impresión</vt:lpstr>
      <vt:lpstr>Área_de_impresión</vt:lpstr>
      <vt:lpstr>Matrículas!Títulos_a_imprimir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lastModifiedBy>rafaelromerocaparros@gmail.com</cp:lastModifiedBy>
  <cp:lastPrinted>2021-06-27T11:13:30Z</cp:lastPrinted>
  <dcterms:created xsi:type="dcterms:W3CDTF">2000-07-10T00:37:11Z</dcterms:created>
  <dcterms:modified xsi:type="dcterms:W3CDTF">2021-06-27T11:32:37Z</dcterms:modified>
</cp:coreProperties>
</file>