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00" windowWidth="9720" windowHeight="7320" tabRatio="809" activeTab="2"/>
  </bookViews>
  <sheets>
    <sheet name="Datos" sheetId="1" r:id="rId1"/>
    <sheet name="Matrículas" sheetId="3" r:id="rId2"/>
    <sheet name="Resultados" sheetId="9" r:id="rId3"/>
  </sheets>
  <definedNames>
    <definedName name="_xlnm._FilterDatabase" localSheetId="2" hidden="1">Resultados!$A$6:$AC$19</definedName>
    <definedName name="_xlnm.Print_Area" localSheetId="0">Datos!$A$1:$O$33</definedName>
    <definedName name="_xlnm.Print_Area" localSheetId="1">Matrículas!$A$1:$M$25</definedName>
    <definedName name="_xlnm.Print_Area">Datos!$B$1:$K$31</definedName>
    <definedName name="_xlnm.Print_Titles" localSheetId="1">Matrículas!$A:$A,Matrículas!$1:$7</definedName>
    <definedName name="_xlnm.Print_Titles" localSheetId="2">Resultados!$A:$A,Resultados!$2:$9</definedName>
  </definedNames>
  <calcPr calcId="124519"/>
</workbook>
</file>

<file path=xl/calcChain.xml><?xml version="1.0" encoding="utf-8"?>
<calcChain xmlns="http://schemas.openxmlformats.org/spreadsheetml/2006/main">
  <c r="Y19" i="9"/>
  <c r="Y20"/>
  <c r="Y12"/>
  <c r="AD21" l="1"/>
  <c r="K21"/>
  <c r="L21" s="1"/>
  <c r="D21"/>
  <c r="C21"/>
  <c r="B21"/>
  <c r="AD19"/>
  <c r="K19"/>
  <c r="L19" s="1"/>
  <c r="D19"/>
  <c r="C19"/>
  <c r="B19"/>
  <c r="AD20"/>
  <c r="K20"/>
  <c r="L20" s="1"/>
  <c r="D20"/>
  <c r="C20"/>
  <c r="B20"/>
  <c r="AD14"/>
  <c r="Y14"/>
  <c r="K14"/>
  <c r="L14" s="1"/>
  <c r="D14"/>
  <c r="C14"/>
  <c r="B14"/>
  <c r="AD15"/>
  <c r="Y15"/>
  <c r="K15"/>
  <c r="L15" s="1"/>
  <c r="D15"/>
  <c r="C15"/>
  <c r="B15"/>
  <c r="AD13"/>
  <c r="Y13"/>
  <c r="K13"/>
  <c r="L13" s="1"/>
  <c r="D13"/>
  <c r="C13"/>
  <c r="B13"/>
  <c r="AD16"/>
  <c r="Y16"/>
  <c r="K16"/>
  <c r="L16" s="1"/>
  <c r="D16"/>
  <c r="C16"/>
  <c r="B16"/>
  <c r="AD17"/>
  <c r="Y17"/>
  <c r="K17"/>
  <c r="L17" s="1"/>
  <c r="D17"/>
  <c r="C17"/>
  <c r="B17"/>
  <c r="AD10"/>
  <c r="Y10"/>
  <c r="K10"/>
  <c r="L10" s="1"/>
  <c r="D10"/>
  <c r="C10"/>
  <c r="B10"/>
  <c r="AD11"/>
  <c r="Y11"/>
  <c r="K11"/>
  <c r="L11" s="1"/>
  <c r="D11"/>
  <c r="C11"/>
  <c r="B11"/>
  <c r="AD22"/>
  <c r="Y22"/>
  <c r="K22"/>
  <c r="L22" s="1"/>
  <c r="D22"/>
  <c r="C22"/>
  <c r="B22"/>
  <c r="AD12"/>
  <c r="K12"/>
  <c r="L12" s="1"/>
  <c r="D12"/>
  <c r="C12"/>
  <c r="B12"/>
  <c r="D18"/>
  <c r="C18"/>
  <c r="B18"/>
  <c r="E6"/>
  <c r="G21" s="1"/>
  <c r="Z21" s="1"/>
  <c r="D1" i="3"/>
  <c r="AD18" i="9"/>
  <c r="N5" i="1"/>
  <c r="Y18" i="9"/>
  <c r="N4" i="1"/>
  <c r="J9" s="1"/>
  <c r="J12" s="1"/>
  <c r="J14" s="1"/>
  <c r="K18" i="9"/>
  <c r="L18" s="1"/>
  <c r="D2"/>
  <c r="J11" i="1"/>
  <c r="E29"/>
  <c r="J22"/>
  <c r="E23"/>
  <c r="C26"/>
  <c r="I16"/>
  <c r="C16"/>
  <c r="J18"/>
  <c r="J23"/>
  <c r="E18"/>
  <c r="E24"/>
  <c r="E19"/>
  <c r="J19"/>
  <c r="E22"/>
  <c r="C8"/>
  <c r="C14" s="1"/>
  <c r="C9"/>
  <c r="E4" i="3"/>
  <c r="H6" i="9"/>
  <c r="H3" i="1"/>
  <c r="F10"/>
  <c r="E32" s="1"/>
  <c r="E28"/>
  <c r="E30"/>
  <c r="E31"/>
  <c r="C11"/>
  <c r="E8"/>
  <c r="E9" s="1"/>
  <c r="E10" s="1"/>
  <c r="E11" s="1"/>
  <c r="E12" s="1"/>
  <c r="J8"/>
  <c r="B32"/>
  <c r="F5"/>
  <c r="F32"/>
  <c r="E17"/>
  <c r="J10"/>
  <c r="F11"/>
  <c r="F9"/>
  <c r="F8"/>
  <c r="D12"/>
  <c r="D11"/>
  <c r="D10"/>
  <c r="D9"/>
  <c r="C12"/>
  <c r="X8" i="9" s="1"/>
  <c r="C10" i="1"/>
  <c r="J5"/>
  <c r="D5"/>
  <c r="E3" i="3"/>
  <c r="G5"/>
  <c r="N6" i="9"/>
  <c r="T8"/>
  <c r="L8"/>
  <c r="P8"/>
  <c r="H8"/>
  <c r="AC3"/>
  <c r="J13" i="1"/>
  <c r="F14"/>
  <c r="AA6" i="9"/>
  <c r="AA18"/>
  <c r="J20" i="1"/>
  <c r="K6" i="9"/>
  <c r="E5" i="3"/>
  <c r="E20" i="1"/>
  <c r="E21" s="1"/>
  <c r="G18" i="9"/>
  <c r="Z18" s="1"/>
  <c r="AC18" s="1"/>
  <c r="J21" i="1" l="1"/>
  <c r="AA22" i="9"/>
  <c r="AA10"/>
  <c r="AA16"/>
  <c r="AA15"/>
  <c r="AA20"/>
  <c r="AA21"/>
  <c r="AC21"/>
  <c r="AA12"/>
  <c r="AA11"/>
  <c r="AA17"/>
  <c r="AA13"/>
  <c r="AA14"/>
  <c r="AA19"/>
  <c r="G22"/>
  <c r="Z22" s="1"/>
  <c r="AC22" s="1"/>
  <c r="G12"/>
  <c r="Z12" s="1"/>
  <c r="AC12" s="1"/>
  <c r="G11"/>
  <c r="Z11" s="1"/>
  <c r="AC11" s="1"/>
  <c r="G10"/>
  <c r="Z10" s="1"/>
  <c r="AC10" s="1"/>
  <c r="G17"/>
  <c r="Z17" s="1"/>
  <c r="AC17" s="1"/>
  <c r="G16"/>
  <c r="Z16" s="1"/>
  <c r="AC16" s="1"/>
  <c r="G13"/>
  <c r="Z13" s="1"/>
  <c r="AC13" s="1"/>
  <c r="G15"/>
  <c r="Z15" s="1"/>
  <c r="AC15" s="1"/>
  <c r="G14"/>
  <c r="Z14" s="1"/>
  <c r="AC14" s="1"/>
  <c r="G20"/>
  <c r="Z20" s="1"/>
  <c r="AC20" s="1"/>
  <c r="G19"/>
  <c r="Z19" s="1"/>
  <c r="AC19" s="1"/>
  <c r="H18"/>
  <c r="H11"/>
  <c r="H21"/>
  <c r="H19" l="1"/>
  <c r="H13"/>
  <c r="H17"/>
  <c r="H14"/>
  <c r="H20"/>
  <c r="H15"/>
  <c r="H16"/>
  <c r="H10"/>
  <c r="H22"/>
  <c r="H12"/>
</calcChain>
</file>

<file path=xl/sharedStrings.xml><?xml version="1.0" encoding="utf-8"?>
<sst xmlns="http://schemas.openxmlformats.org/spreadsheetml/2006/main" count="237" uniqueCount="147">
  <si>
    <t>FASE   I</t>
  </si>
  <si>
    <t>TOTALES</t>
  </si>
  <si>
    <t>HORA SALIDA</t>
  </si>
  <si>
    <t>DISTANCIA</t>
  </si>
  <si>
    <t>VELOCIDAD MÍNIMA</t>
  </si>
  <si>
    <t>TIEMPO LÍMITE</t>
  </si>
  <si>
    <t>CIERRE CONTROL</t>
  </si>
  <si>
    <t>Descanso Obligatorio</t>
  </si>
  <si>
    <t xml:space="preserve">  Horas</t>
  </si>
  <si>
    <t xml:space="preserve">  Km</t>
  </si>
  <si>
    <t xml:space="preserve">  Km/H</t>
  </si>
  <si>
    <t xml:space="preserve"> Minutos</t>
  </si>
  <si>
    <t>Km. TOTALES</t>
  </si>
  <si>
    <t>NÚMERO FASES</t>
  </si>
  <si>
    <t>VEL MIN.</t>
  </si>
  <si>
    <t>TIEMPO TOTAL</t>
  </si>
  <si>
    <t>DESCANSO TOTAL</t>
  </si>
  <si>
    <t>FASE   II</t>
  </si>
  <si>
    <t>IMPORTANTE</t>
  </si>
  <si>
    <t xml:space="preserve"> A. M.</t>
  </si>
  <si>
    <t>CE   0</t>
  </si>
  <si>
    <t>Horas</t>
  </si>
  <si>
    <t xml:space="preserve"> Km.</t>
  </si>
  <si>
    <t xml:space="preserve"> Km/H</t>
  </si>
  <si>
    <t xml:space="preserve"> Horas</t>
  </si>
  <si>
    <t>FASE I</t>
  </si>
  <si>
    <t>km.</t>
  </si>
  <si>
    <t>FASE II</t>
  </si>
  <si>
    <t>FASE III</t>
  </si>
  <si>
    <t>FASE IV</t>
  </si>
  <si>
    <t>FASE V</t>
  </si>
  <si>
    <t>Desc. Obligat.</t>
  </si>
  <si>
    <t>Lugar:</t>
  </si>
  <si>
    <t>Fecha:</t>
  </si>
  <si>
    <t>Kilometros totales</t>
  </si>
  <si>
    <t>Descanso total</t>
  </si>
  <si>
    <t>Hora de salida</t>
  </si>
  <si>
    <t>Velocidad Mínima:</t>
  </si>
  <si>
    <t>Kilómetros 1º Fase</t>
  </si>
  <si>
    <t xml:space="preserve">Descanso </t>
  </si>
  <si>
    <t>Kilómetros 2° Fase</t>
  </si>
  <si>
    <t>Descanso</t>
  </si>
  <si>
    <t>Kilómetros 3° Fase</t>
  </si>
  <si>
    <t>Kilómetros 4° Fase</t>
  </si>
  <si>
    <t>Kilómetros 5º Fase</t>
  </si>
  <si>
    <t>Km.</t>
  </si>
  <si>
    <t>DECLARACIÓN de PARTICIPANTES</t>
  </si>
  <si>
    <t>FECHA:</t>
  </si>
  <si>
    <t xml:space="preserve">KM. :     </t>
  </si>
  <si>
    <t>MATRÍCULAS Y REPARTO DE DORSALES</t>
  </si>
  <si>
    <t>NOMBRE</t>
  </si>
  <si>
    <t>LDN</t>
  </si>
  <si>
    <t>Sexo</t>
  </si>
  <si>
    <t xml:space="preserve"> RAZA</t>
  </si>
  <si>
    <t>CAPA</t>
  </si>
  <si>
    <t>LAC</t>
  </si>
  <si>
    <t>LIC</t>
  </si>
  <si>
    <t>H. SALIDA:</t>
  </si>
  <si>
    <t>CATEGORÍA:</t>
  </si>
  <si>
    <t>Nació</t>
  </si>
  <si>
    <t>CABALLO</t>
  </si>
  <si>
    <t>Nº</t>
  </si>
  <si>
    <t>VET GATE</t>
  </si>
  <si>
    <t>CE 1</t>
  </si>
  <si>
    <t>Según Control</t>
  </si>
  <si>
    <t>JINETE</t>
  </si>
  <si>
    <t>SAL</t>
  </si>
  <si>
    <t>DOR</t>
  </si>
  <si>
    <t>TOTAL :</t>
  </si>
  <si>
    <t>2.ª FASE</t>
  </si>
  <si>
    <t>TIEMPO</t>
  </si>
  <si>
    <t>PRUEBA</t>
  </si>
  <si>
    <t>Tiempo</t>
  </si>
  <si>
    <t>Km/h</t>
  </si>
  <si>
    <t>ORDEN</t>
  </si>
  <si>
    <t>Llegada</t>
  </si>
  <si>
    <t>Contr. Vet.</t>
  </si>
  <si>
    <t>TOTAL</t>
  </si>
  <si>
    <t xml:space="preserve"> HORA de SALIDA:</t>
  </si>
  <si>
    <t>CE 7</t>
  </si>
  <si>
    <t>Descanso Total</t>
  </si>
  <si>
    <t>1.ª FASE</t>
  </si>
  <si>
    <t>3.ª FASE</t>
  </si>
  <si>
    <t>Salida</t>
  </si>
  <si>
    <t xml:space="preserve">    Dorsal</t>
  </si>
  <si>
    <t>FINAL</t>
  </si>
  <si>
    <t>Km</t>
  </si>
  <si>
    <t>Recupe-ración</t>
  </si>
  <si>
    <t>Acumuladas</t>
  </si>
  <si>
    <t>4.ª FASE</t>
  </si>
  <si>
    <t>5.ª FASE</t>
  </si>
  <si>
    <t>Hora VET</t>
  </si>
  <si>
    <t>CARRERA</t>
  </si>
  <si>
    <t>PROMO</t>
  </si>
  <si>
    <t>A. M.</t>
  </si>
  <si>
    <t>VELOCIDAD MAXIMA</t>
  </si>
  <si>
    <t xml:space="preserve">  Km/h</t>
  </si>
  <si>
    <t>TIEMPO MINIMO</t>
  </si>
  <si>
    <t>Velocidad Maxima:</t>
  </si>
  <si>
    <t>PROMOCION</t>
  </si>
  <si>
    <t>CET-P 40</t>
  </si>
  <si>
    <t>BEST CONDITION</t>
  </si>
  <si>
    <t xml:space="preserve"> Se conceden 2 presentaciones al Control Veterinario; la primera voluntaria, la segunda el control obligatorio. La carrera termina en la línea de acceso al Control Veterinario. Pulso 64/m</t>
  </si>
  <si>
    <t>Atzeneta</t>
  </si>
  <si>
    <t>III RAID HÍPICO ATZENETA DEL MAESTRAT</t>
  </si>
  <si>
    <t>NARANJA</t>
  </si>
  <si>
    <t>AMARILLA</t>
  </si>
  <si>
    <t xml:space="preserve">VICENTE M. FENOLLOSA MINGARRO </t>
  </si>
  <si>
    <t>KARAMBA                                        VA</t>
  </si>
  <si>
    <t>SOFIA ALCAHUD MARTINEZ</t>
  </si>
  <si>
    <t>ALMA ALBOLETE                            MU</t>
  </si>
  <si>
    <t>DIEGO SENENT BALANZA</t>
  </si>
  <si>
    <t>ABZ ALDORI                                     VA</t>
  </si>
  <si>
    <t>ANTONIA MORENO GONZALEZ</t>
  </si>
  <si>
    <t>ANTOJO                                            VA</t>
  </si>
  <si>
    <t>IGNACIO GARCIA GARCIA</t>
  </si>
  <si>
    <t>DAR EL MANSUR                            VA</t>
  </si>
  <si>
    <t>TERESA RECATALA</t>
  </si>
  <si>
    <t>NAIMA P3                                         VA</t>
  </si>
  <si>
    <t>JACQUELINE DENISE</t>
  </si>
  <si>
    <t>MAVER PLATON SH                       VA</t>
  </si>
  <si>
    <t xml:space="preserve"> ERICK FARID PAZ GUERRERO</t>
  </si>
  <si>
    <t>ABABOL                                             VA</t>
  </si>
  <si>
    <t>MIGUEL BERNAT</t>
  </si>
  <si>
    <t>TREMENDA</t>
  </si>
  <si>
    <t xml:space="preserve"> </t>
  </si>
  <si>
    <t>CARLOS PEREZ</t>
  </si>
  <si>
    <t>VA05971</t>
  </si>
  <si>
    <t>VA07015</t>
  </si>
  <si>
    <t>VA07022</t>
  </si>
  <si>
    <t>PABLO HERNANDORENA</t>
  </si>
  <si>
    <t>GALEON RP</t>
  </si>
  <si>
    <t>SHEITAN</t>
  </si>
  <si>
    <t>ERWAN  BONET</t>
  </si>
  <si>
    <t>JARAMA</t>
  </si>
  <si>
    <t>VA131306</t>
  </si>
  <si>
    <t>MARTA FERRE</t>
  </si>
  <si>
    <t>VA08933</t>
  </si>
  <si>
    <t>P.R.á.</t>
  </si>
  <si>
    <t>MARINA VILLALBA</t>
  </si>
  <si>
    <t>A.á.</t>
  </si>
  <si>
    <t>RETIRADO</t>
  </si>
  <si>
    <t>ELIMINADO METABOLICA</t>
  </si>
  <si>
    <t>PULSO +</t>
  </si>
  <si>
    <t>NATUR QUITJANI</t>
  </si>
  <si>
    <t>NATUR QATAR</t>
  </si>
  <si>
    <t>AECCA</t>
  </si>
</sst>
</file>

<file path=xl/styles.xml><?xml version="1.0" encoding="utf-8"?>
<styleSheet xmlns="http://schemas.openxmlformats.org/spreadsheetml/2006/main">
  <numFmts count="6">
    <numFmt numFmtId="164" formatCode="hh\.mm\.ss"/>
    <numFmt numFmtId="165" formatCode="_(* #,##0_);_(* \(#,##0\);_(* &quot;-&quot;_);_(@_)"/>
    <numFmt numFmtId="166" formatCode=";;;"/>
    <numFmt numFmtId="167" formatCode="0.0"/>
    <numFmt numFmtId="168" formatCode="0.000"/>
    <numFmt numFmtId="169" formatCode="[$-40A]d&quot; de &quot;mmmm&quot; de &quot;yyyy;@"/>
  </numFmts>
  <fonts count="25">
    <font>
      <sz val="12"/>
      <name val="Arial"/>
    </font>
    <font>
      <sz val="12"/>
      <name val="SWISS"/>
    </font>
    <font>
      <b/>
      <sz val="12"/>
      <name val="Times New Roman"/>
      <family val="1"/>
    </font>
    <font>
      <sz val="10"/>
      <name val="Arial"/>
      <family val="2"/>
    </font>
    <font>
      <b/>
      <i/>
      <sz val="3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8"/>
      <color indexed="10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i/>
      <sz val="26"/>
      <name val="Times New Roman"/>
      <family val="1"/>
    </font>
    <font>
      <sz val="12"/>
      <color indexed="8"/>
      <name val="Arial"/>
      <family val="2"/>
    </font>
    <font>
      <b/>
      <i/>
      <sz val="20"/>
      <name val="Times New Roman"/>
      <family val="1"/>
    </font>
    <font>
      <b/>
      <sz val="18"/>
      <name val="SWISS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41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125"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17"/>
      </left>
      <right/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 style="double">
        <color indexed="17"/>
      </top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 style="double">
        <color indexed="17"/>
      </left>
      <right/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 style="double">
        <color indexed="17"/>
      </bottom>
      <diagonal/>
    </border>
    <border>
      <left/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42"/>
      </top>
      <bottom style="medium">
        <color indexed="42"/>
      </bottom>
      <diagonal/>
    </border>
    <border>
      <left style="medium">
        <color indexed="42"/>
      </left>
      <right/>
      <top style="medium">
        <color indexed="42"/>
      </top>
      <bottom style="medium">
        <color indexed="42"/>
      </bottom>
      <diagonal/>
    </border>
    <border>
      <left/>
      <right style="medium">
        <color indexed="42"/>
      </right>
      <top style="medium">
        <color indexed="42"/>
      </top>
      <bottom style="medium">
        <color indexed="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NumberFormat="1" applyFont="1" applyAlignment="1"/>
    <xf numFmtId="0" fontId="0" fillId="0" borderId="0" xfId="0" applyBorder="1"/>
    <xf numFmtId="0" fontId="6" fillId="0" borderId="0" xfId="0" applyNumberFormat="1" applyFont="1" applyAlignment="1"/>
    <xf numFmtId="0" fontId="5" fillId="0" borderId="0" xfId="0" applyNumberFormat="1" applyFont="1" applyAlignment="1"/>
    <xf numFmtId="0" fontId="6" fillId="0" borderId="1" xfId="0" applyNumberFormat="1" applyFont="1" applyBorder="1"/>
    <xf numFmtId="0" fontId="6" fillId="0" borderId="0" xfId="0" applyNumberFormat="1" applyFont="1" applyBorder="1" applyAlignment="1"/>
    <xf numFmtId="0" fontId="6" fillId="0" borderId="0" xfId="0" applyNumberFormat="1" applyFont="1" applyBorder="1"/>
    <xf numFmtId="0" fontId="8" fillId="0" borderId="0" xfId="0" applyNumberFormat="1" applyFont="1" applyAlignment="1">
      <alignment horizontal="right"/>
    </xf>
    <xf numFmtId="0" fontId="6" fillId="0" borderId="0" xfId="0" applyNumberFormat="1" applyFont="1"/>
    <xf numFmtId="0" fontId="6" fillId="0" borderId="2" xfId="0" applyNumberFormat="1" applyFont="1" applyBorder="1"/>
    <xf numFmtId="0" fontId="6" fillId="0" borderId="0" xfId="0" applyFont="1" applyBorder="1"/>
    <xf numFmtId="0" fontId="6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2" fillId="0" borderId="6" xfId="0" applyFont="1" applyBorder="1"/>
    <xf numFmtId="21" fontId="12" fillId="0" borderId="7" xfId="0" applyNumberFormat="1" applyFont="1" applyBorder="1"/>
    <xf numFmtId="0" fontId="6" fillId="0" borderId="6" xfId="0" applyFont="1" applyBorder="1"/>
    <xf numFmtId="21" fontId="6" fillId="0" borderId="7" xfId="0" applyNumberFormat="1" applyFont="1" applyBorder="1"/>
    <xf numFmtId="0" fontId="6" fillId="0" borderId="7" xfId="0" applyFont="1" applyBorder="1"/>
    <xf numFmtId="21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0" xfId="0" applyNumberFormat="1" applyFont="1" applyBorder="1" applyAlignment="1"/>
    <xf numFmtId="2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0" fontId="8" fillId="0" borderId="0" xfId="0" applyNumberFormat="1" applyFont="1" applyBorder="1" applyAlignment="1">
      <alignment horizontal="right"/>
    </xf>
    <xf numFmtId="166" fontId="6" fillId="0" borderId="0" xfId="0" applyNumberFormat="1" applyFont="1" applyProtection="1">
      <protection hidden="1"/>
    </xf>
    <xf numFmtId="166" fontId="6" fillId="0" borderId="1" xfId="0" applyNumberFormat="1" applyFont="1" applyBorder="1" applyProtection="1">
      <protection hidden="1"/>
    </xf>
    <xf numFmtId="0" fontId="5" fillId="1" borderId="9" xfId="0" applyNumberFormat="1" applyFont="1" applyFill="1" applyBorder="1" applyAlignment="1">
      <alignment horizontal="center"/>
    </xf>
    <xf numFmtId="0" fontId="5" fillId="1" borderId="9" xfId="0" applyNumberFormat="1" applyFont="1" applyFill="1" applyBorder="1" applyAlignment="1">
      <alignment horizontal="left"/>
    </xf>
    <xf numFmtId="0" fontId="5" fillId="1" borderId="9" xfId="0" applyNumberFormat="1" applyFont="1" applyFill="1" applyBorder="1" applyAlignment="1"/>
    <xf numFmtId="0" fontId="5" fillId="1" borderId="9" xfId="0" applyNumberFormat="1" applyFont="1" applyFill="1" applyBorder="1" applyAlignment="1">
      <alignment horizontal="right"/>
    </xf>
    <xf numFmtId="0" fontId="6" fillId="1" borderId="9" xfId="0" applyNumberFormat="1" applyFont="1" applyFill="1" applyBorder="1" applyAlignment="1"/>
    <xf numFmtId="164" fontId="5" fillId="1" borderId="9" xfId="0" applyNumberFormat="1" applyFont="1" applyFill="1" applyBorder="1" applyAlignment="1">
      <alignment horizontal="centerContinuous"/>
    </xf>
    <xf numFmtId="166" fontId="6" fillId="0" borderId="9" xfId="0" applyNumberFormat="1" applyFont="1" applyBorder="1" applyProtection="1">
      <protection hidden="1"/>
    </xf>
    <xf numFmtId="0" fontId="8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21" fontId="5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5" fillId="0" borderId="10" xfId="0" applyNumberFormat="1" applyFont="1" applyBorder="1" applyAlignment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NumberFormat="1" applyFont="1" applyBorder="1" applyAlignment="1"/>
    <xf numFmtId="0" fontId="6" fillId="0" borderId="12" xfId="0" applyFont="1" applyBorder="1"/>
    <xf numFmtId="0" fontId="5" fillId="0" borderId="13" xfId="0" applyNumberFormat="1" applyFont="1" applyBorder="1" applyAlignment="1"/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5" fillId="0" borderId="11" xfId="0" applyNumberFormat="1" applyFont="1" applyBorder="1" applyAlignment="1"/>
    <xf numFmtId="21" fontId="5" fillId="0" borderId="11" xfId="0" applyNumberFormat="1" applyFont="1" applyBorder="1" applyAlignment="1"/>
    <xf numFmtId="0" fontId="6" fillId="0" borderId="15" xfId="0" applyNumberFormat="1" applyFont="1" applyBorder="1" applyAlignment="1"/>
    <xf numFmtId="0" fontId="6" fillId="0" borderId="16" xfId="0" applyNumberFormat="1" applyFont="1" applyBorder="1" applyAlignment="1"/>
    <xf numFmtId="0" fontId="5" fillId="0" borderId="14" xfId="0" applyNumberFormat="1" applyFont="1" applyBorder="1" applyAlignment="1"/>
    <xf numFmtId="21" fontId="5" fillId="0" borderId="14" xfId="0" applyNumberFormat="1" applyFont="1" applyBorder="1" applyAlignment="1"/>
    <xf numFmtId="0" fontId="6" fillId="0" borderId="17" xfId="0" applyNumberFormat="1" applyFont="1" applyBorder="1" applyAlignment="1"/>
    <xf numFmtId="0" fontId="5" fillId="0" borderId="18" xfId="0" applyNumberFormat="1" applyFont="1" applyBorder="1" applyAlignment="1"/>
    <xf numFmtId="0" fontId="5" fillId="0" borderId="19" xfId="0" applyNumberFormat="1" applyFont="1" applyBorder="1" applyAlignment="1"/>
    <xf numFmtId="0" fontId="5" fillId="0" borderId="19" xfId="0" applyNumberFormat="1" applyFont="1" applyBorder="1" applyAlignment="1">
      <alignment horizontal="centerContinuous"/>
    </xf>
    <xf numFmtId="0" fontId="5" fillId="0" borderId="20" xfId="0" applyNumberFormat="1" applyFont="1" applyBorder="1" applyAlignment="1">
      <alignment horizontal="centerContinuous"/>
    </xf>
    <xf numFmtId="164" fontId="5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/>
    <xf numFmtId="164" fontId="6" fillId="0" borderId="21" xfId="0" applyNumberFormat="1" applyFont="1" applyBorder="1" applyAlignment="1">
      <alignment horizontal="center"/>
    </xf>
    <xf numFmtId="0" fontId="7" fillId="1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6" fontId="5" fillId="0" borderId="0" xfId="0" applyNumberFormat="1" applyFont="1" applyProtection="1">
      <protection hidden="1"/>
    </xf>
    <xf numFmtId="0" fontId="10" fillId="0" borderId="9" xfId="0" applyNumberFormat="1" applyFont="1" applyBorder="1" applyAlignment="1">
      <alignment horizontal="right"/>
    </xf>
    <xf numFmtId="0" fontId="15" fillId="0" borderId="0" xfId="0" applyFont="1"/>
    <xf numFmtId="166" fontId="6" fillId="0" borderId="0" xfId="0" applyNumberFormat="1" applyFont="1" applyBorder="1" applyProtection="1">
      <protection hidden="1"/>
    </xf>
    <xf numFmtId="0" fontId="8" fillId="0" borderId="0" xfId="0" applyNumberFormat="1" applyFont="1" applyBorder="1" applyAlignment="1">
      <alignment horizontal="center"/>
    </xf>
    <xf numFmtId="164" fontId="5" fillId="1" borderId="2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11" fillId="0" borderId="16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5" fillId="1" borderId="23" xfId="0" applyNumberFormat="1" applyFont="1" applyFill="1" applyBorder="1" applyAlignment="1">
      <alignment horizontal="right"/>
    </xf>
    <xf numFmtId="0" fontId="6" fillId="1" borderId="23" xfId="0" applyNumberFormat="1" applyFont="1" applyFill="1" applyBorder="1" applyAlignment="1"/>
    <xf numFmtId="0" fontId="5" fillId="0" borderId="24" xfId="0" applyNumberFormat="1" applyFont="1" applyBorder="1" applyAlignment="1"/>
    <xf numFmtId="0" fontId="5" fillId="0" borderId="23" xfId="0" applyNumberFormat="1" applyFont="1" applyBorder="1" applyAlignment="1"/>
    <xf numFmtId="0" fontId="5" fillId="0" borderId="23" xfId="0" applyNumberFormat="1" applyFont="1" applyBorder="1" applyAlignment="1">
      <alignment horizontal="right"/>
    </xf>
    <xf numFmtId="21" fontId="5" fillId="0" borderId="23" xfId="0" applyNumberFormat="1" applyFont="1" applyBorder="1" applyAlignment="1"/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/>
    <xf numFmtId="0" fontId="7" fillId="0" borderId="25" xfId="0" applyNumberFormat="1" applyFont="1" applyBorder="1" applyAlignment="1">
      <alignment horizontal="centerContinuous"/>
    </xf>
    <xf numFmtId="0" fontId="5" fillId="0" borderId="26" xfId="0" applyNumberFormat="1" applyFont="1" applyBorder="1" applyAlignment="1">
      <alignment horizontal="centerContinuous"/>
    </xf>
    <xf numFmtId="0" fontId="6" fillId="0" borderId="26" xfId="0" applyNumberFormat="1" applyFont="1" applyBorder="1" applyAlignment="1">
      <alignment horizontal="centerContinuous"/>
    </xf>
    <xf numFmtId="0" fontId="6" fillId="0" borderId="27" xfId="0" applyNumberFormat="1" applyFont="1" applyBorder="1" applyAlignment="1">
      <alignment horizontal="centerContinuous"/>
    </xf>
    <xf numFmtId="0" fontId="7" fillId="0" borderId="28" xfId="0" applyNumberFormat="1" applyFont="1" applyBorder="1" applyAlignment="1">
      <alignment horizontal="centerContinuous"/>
    </xf>
    <xf numFmtId="0" fontId="6" fillId="0" borderId="29" xfId="0" applyNumberFormat="1" applyFont="1" applyBorder="1" applyAlignment="1"/>
    <xf numFmtId="0" fontId="5" fillId="0" borderId="30" xfId="0" applyNumberFormat="1" applyFont="1" applyBorder="1" applyAlignment="1">
      <alignment horizontal="centerContinuous" vertical="top"/>
    </xf>
    <xf numFmtId="0" fontId="6" fillId="0" borderId="31" xfId="0" applyNumberFormat="1" applyFont="1" applyBorder="1" applyAlignment="1">
      <alignment horizontal="centerContinuous"/>
    </xf>
    <xf numFmtId="0" fontId="6" fillId="0" borderId="32" xfId="0" applyNumberFormat="1" applyFont="1" applyBorder="1" applyAlignment="1">
      <alignment horizontal="centerContinuous"/>
    </xf>
    <xf numFmtId="0" fontId="5" fillId="2" borderId="33" xfId="0" applyNumberFormat="1" applyFont="1" applyFill="1" applyBorder="1" applyAlignment="1">
      <alignment horizontal="left"/>
    </xf>
    <xf numFmtId="21" fontId="11" fillId="0" borderId="15" xfId="0" applyNumberFormat="1" applyFont="1" applyFill="1" applyBorder="1" applyAlignment="1">
      <alignment horizontal="center"/>
    </xf>
    <xf numFmtId="21" fontId="11" fillId="0" borderId="16" xfId="0" applyNumberFormat="1" applyFont="1" applyFill="1" applyBorder="1" applyAlignment="1">
      <alignment horizontal="center"/>
    </xf>
    <xf numFmtId="15" fontId="5" fillId="1" borderId="9" xfId="0" applyNumberFormat="1" applyFont="1" applyFill="1" applyBorder="1" applyAlignment="1"/>
    <xf numFmtId="21" fontId="6" fillId="0" borderId="0" xfId="0" applyNumberFormat="1" applyFont="1" applyAlignment="1"/>
    <xf numFmtId="46" fontId="1" fillId="0" borderId="0" xfId="0" applyNumberFormat="1" applyFont="1" applyAlignment="1"/>
    <xf numFmtId="21" fontId="1" fillId="0" borderId="0" xfId="0" applyNumberFormat="1" applyFont="1" applyAlignment="1"/>
    <xf numFmtId="0" fontId="1" fillId="0" borderId="7" xfId="0" applyNumberFormat="1" applyFont="1" applyBorder="1" applyAlignment="1"/>
    <xf numFmtId="0" fontId="17" fillId="3" borderId="34" xfId="0" applyNumberFormat="1" applyFont="1" applyFill="1" applyBorder="1" applyAlignment="1">
      <alignment horizontal="center"/>
    </xf>
    <xf numFmtId="21" fontId="5" fillId="0" borderId="14" xfId="0" applyNumberFormat="1" applyFont="1" applyBorder="1" applyAlignment="1">
      <alignment horizontal="right"/>
    </xf>
    <xf numFmtId="0" fontId="5" fillId="0" borderId="17" xfId="0" applyNumberFormat="1" applyFont="1" applyBorder="1" applyAlignment="1"/>
    <xf numFmtId="14" fontId="11" fillId="0" borderId="7" xfId="0" applyNumberFormat="1" applyFont="1" applyBorder="1"/>
    <xf numFmtId="21" fontId="5" fillId="1" borderId="9" xfId="0" applyNumberFormat="1" applyFont="1" applyFill="1" applyBorder="1" applyAlignment="1"/>
    <xf numFmtId="21" fontId="9" fillId="1" borderId="9" xfId="0" applyNumberFormat="1" applyFont="1" applyFill="1" applyBorder="1" applyAlignment="1">
      <alignment horizontal="left"/>
    </xf>
    <xf numFmtId="0" fontId="5" fillId="1" borderId="35" xfId="0" applyNumberFormat="1" applyFont="1" applyFill="1" applyBorder="1" applyAlignment="1">
      <alignment horizontal="center"/>
    </xf>
    <xf numFmtId="0" fontId="5" fillId="1" borderId="36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left"/>
    </xf>
    <xf numFmtId="168" fontId="5" fillId="0" borderId="0" xfId="0" applyNumberFormat="1" applyFont="1" applyBorder="1" applyAlignment="1"/>
    <xf numFmtId="168" fontId="6" fillId="0" borderId="11" xfId="0" applyNumberFormat="1" applyFont="1" applyBorder="1"/>
    <xf numFmtId="168" fontId="6" fillId="0" borderId="0" xfId="0" applyNumberFormat="1" applyFont="1" applyBorder="1"/>
    <xf numFmtId="168" fontId="6" fillId="0" borderId="14" xfId="0" applyNumberFormat="1" applyFont="1" applyBorder="1"/>
    <xf numFmtId="168" fontId="12" fillId="0" borderId="7" xfId="1" applyNumberFormat="1" applyFont="1" applyBorder="1"/>
    <xf numFmtId="0" fontId="5" fillId="2" borderId="37" xfId="0" applyNumberFormat="1" applyFont="1" applyFill="1" applyBorder="1" applyAlignment="1">
      <alignment horizontal="center"/>
    </xf>
    <xf numFmtId="0" fontId="5" fillId="2" borderId="38" xfId="0" applyNumberFormat="1" applyFont="1" applyFill="1" applyBorder="1" applyAlignment="1">
      <alignment horizontal="left"/>
    </xf>
    <xf numFmtId="0" fontId="5" fillId="2" borderId="38" xfId="0" applyNumberFormat="1" applyFont="1" applyFill="1" applyBorder="1" applyAlignment="1"/>
    <xf numFmtId="0" fontId="5" fillId="2" borderId="38" xfId="0" applyNumberFormat="1" applyFont="1" applyFill="1" applyBorder="1" applyAlignment="1">
      <alignment horizontal="center"/>
    </xf>
    <xf numFmtId="0" fontId="5" fillId="2" borderId="39" xfId="0" applyNumberFormat="1" applyFont="1" applyFill="1" applyBorder="1" applyAlignment="1">
      <alignment horizontal="center"/>
    </xf>
    <xf numFmtId="0" fontId="21" fillId="4" borderId="21" xfId="0" applyNumberFormat="1" applyFont="1" applyFill="1" applyBorder="1" applyAlignment="1">
      <alignment horizontal="center"/>
    </xf>
    <xf numFmtId="3" fontId="21" fillId="4" borderId="21" xfId="0" applyNumberFormat="1" applyFont="1" applyFill="1" applyBorder="1" applyAlignment="1">
      <alignment horizontal="center"/>
    </xf>
    <xf numFmtId="1" fontId="21" fillId="4" borderId="21" xfId="0" applyNumberFormat="1" applyFont="1" applyFill="1" applyBorder="1" applyAlignment="1">
      <alignment horizontal="center"/>
    </xf>
    <xf numFmtId="0" fontId="21" fillId="0" borderId="21" xfId="0" applyNumberFormat="1" applyFont="1" applyBorder="1" applyAlignment="1">
      <alignment horizontal="center"/>
    </xf>
    <xf numFmtId="0" fontId="21" fillId="4" borderId="21" xfId="0" applyFont="1" applyFill="1" applyBorder="1"/>
    <xf numFmtId="3" fontId="21" fillId="4" borderId="21" xfId="0" applyNumberFormat="1" applyFont="1" applyFill="1" applyBorder="1" applyAlignment="1">
      <alignment horizontal="right"/>
    </xf>
    <xf numFmtId="0" fontId="19" fillId="0" borderId="21" xfId="0" applyNumberFormat="1" applyFont="1" applyBorder="1" applyAlignment="1">
      <alignment horizontal="center"/>
    </xf>
    <xf numFmtId="0" fontId="19" fillId="0" borderId="21" xfId="0" applyNumberFormat="1" applyFont="1" applyBorder="1" applyAlignment="1"/>
    <xf numFmtId="3" fontId="19" fillId="0" borderId="21" xfId="0" applyNumberFormat="1" applyFont="1" applyBorder="1" applyAlignment="1"/>
    <xf numFmtId="49" fontId="21" fillId="4" borderId="21" xfId="0" applyNumberFormat="1" applyFont="1" applyFill="1" applyBorder="1" applyAlignment="1">
      <alignment horizontal="center"/>
    </xf>
    <xf numFmtId="0" fontId="7" fillId="5" borderId="40" xfId="0" applyNumberFormat="1" applyFont="1" applyFill="1" applyBorder="1" applyAlignment="1">
      <alignment horizontal="center"/>
    </xf>
    <xf numFmtId="0" fontId="7" fillId="5" borderId="41" xfId="0" applyNumberFormat="1" applyFont="1" applyFill="1" applyBorder="1" applyAlignment="1">
      <alignment horizontal="left"/>
    </xf>
    <xf numFmtId="0" fontId="5" fillId="5" borderId="40" xfId="0" applyNumberFormat="1" applyFont="1" applyFill="1" applyBorder="1" applyAlignment="1">
      <alignment horizontal="center"/>
    </xf>
    <xf numFmtId="0" fontId="7" fillId="5" borderId="40" xfId="0" applyNumberFormat="1" applyFont="1" applyFill="1" applyBorder="1" applyAlignment="1">
      <alignment horizontal="right"/>
    </xf>
    <xf numFmtId="164" fontId="5" fillId="5" borderId="40" xfId="0" applyNumberFormat="1" applyFont="1" applyFill="1" applyBorder="1" applyAlignment="1">
      <alignment horizontal="centerContinuous"/>
    </xf>
    <xf numFmtId="0" fontId="7" fillId="5" borderId="42" xfId="0" applyNumberFormat="1" applyFont="1" applyFill="1" applyBorder="1" applyAlignment="1">
      <alignment horizontal="centerContinuous"/>
    </xf>
    <xf numFmtId="0" fontId="0" fillId="0" borderId="21" xfId="0" applyBorder="1"/>
    <xf numFmtId="164" fontId="5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Continuous" vertical="center"/>
    </xf>
    <xf numFmtId="0" fontId="5" fillId="0" borderId="21" xfId="0" applyNumberFormat="1" applyFont="1" applyBorder="1" applyAlignment="1"/>
    <xf numFmtId="0" fontId="5" fillId="0" borderId="21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center"/>
    </xf>
    <xf numFmtId="0" fontId="10" fillId="0" borderId="21" xfId="0" applyNumberFormat="1" applyFont="1" applyBorder="1" applyAlignment="1"/>
    <xf numFmtId="0" fontId="7" fillId="0" borderId="21" xfId="0" applyNumberFormat="1" applyFont="1" applyBorder="1" applyAlignment="1">
      <alignment horizontal="centerContinuous" vertical="top"/>
    </xf>
    <xf numFmtId="0" fontId="7" fillId="0" borderId="21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/>
    </xf>
    <xf numFmtId="0" fontId="7" fillId="1" borderId="21" xfId="0" applyNumberFormat="1" applyFont="1" applyFill="1" applyBorder="1" applyAlignment="1">
      <alignment horizontal="center"/>
    </xf>
    <xf numFmtId="168" fontId="5" fillId="0" borderId="21" xfId="1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NumberFormat="1" applyFont="1" applyBorder="1" applyAlignment="1"/>
    <xf numFmtId="0" fontId="6" fillId="0" borderId="33" xfId="0" applyFont="1" applyBorder="1"/>
    <xf numFmtId="168" fontId="6" fillId="0" borderId="51" xfId="0" applyNumberFormat="1" applyFont="1" applyBorder="1"/>
    <xf numFmtId="0" fontId="1" fillId="0" borderId="53" xfId="0" applyNumberFormat="1" applyFont="1" applyBorder="1" applyAlignment="1"/>
    <xf numFmtId="168" fontId="6" fillId="0" borderId="51" xfId="0" applyNumberFormat="1" applyFont="1" applyBorder="1" applyAlignment="1">
      <alignment horizontal="right"/>
    </xf>
    <xf numFmtId="167" fontId="5" fillId="0" borderId="23" xfId="0" applyNumberFormat="1" applyFont="1" applyBorder="1" applyAlignment="1">
      <alignment horizontal="left"/>
    </xf>
    <xf numFmtId="0" fontId="23" fillId="7" borderId="52" xfId="0" applyNumberFormat="1" applyFont="1" applyFill="1" applyBorder="1" applyAlignment="1">
      <alignment horizontal="center"/>
    </xf>
    <xf numFmtId="0" fontId="23" fillId="8" borderId="52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24" fillId="6" borderId="21" xfId="0" applyFont="1" applyFill="1" applyBorder="1"/>
    <xf numFmtId="0" fontId="0" fillId="6" borderId="21" xfId="0" applyFill="1" applyBorder="1"/>
    <xf numFmtId="0" fontId="24" fillId="6" borderId="21" xfId="0" applyFon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19" fillId="0" borderId="21" xfId="0" applyFont="1" applyBorder="1"/>
    <xf numFmtId="0" fontId="15" fillId="0" borderId="2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24" fillId="6" borderId="24" xfId="0" applyFont="1" applyFill="1" applyBorder="1"/>
    <xf numFmtId="0" fontId="21" fillId="4" borderId="21" xfId="0" applyFont="1" applyFill="1" applyBorder="1" applyAlignment="1">
      <alignment horizontal="left"/>
    </xf>
    <xf numFmtId="0" fontId="24" fillId="6" borderId="24" xfId="0" applyFont="1" applyFill="1" applyBorder="1" applyAlignment="1">
      <alignment horizontal="left"/>
    </xf>
    <xf numFmtId="0" fontId="0" fillId="6" borderId="43" xfId="0" applyFill="1" applyBorder="1"/>
    <xf numFmtId="3" fontId="0" fillId="0" borderId="21" xfId="0" applyNumberFormat="1" applyBorder="1"/>
    <xf numFmtId="0" fontId="0" fillId="0" borderId="0" xfId="0" applyFill="1" applyBorder="1"/>
    <xf numFmtId="0" fontId="16" fillId="8" borderId="21" xfId="0" applyNumberFormat="1" applyFont="1" applyFill="1" applyBorder="1" applyAlignment="1">
      <alignment horizontal="center"/>
    </xf>
    <xf numFmtId="164" fontId="5" fillId="8" borderId="21" xfId="0" applyNumberFormat="1" applyFont="1" applyFill="1" applyBorder="1" applyAlignment="1">
      <alignment horizontal="center"/>
    </xf>
    <xf numFmtId="168" fontId="7" fillId="10" borderId="9" xfId="0" applyNumberFormat="1" applyFont="1" applyFill="1" applyBorder="1" applyAlignment="1">
      <alignment horizontal="center"/>
    </xf>
    <xf numFmtId="0" fontId="6" fillId="11" borderId="21" xfId="0" applyFont="1" applyFill="1" applyBorder="1" applyAlignment="1">
      <alignment horizontal="left"/>
    </xf>
    <xf numFmtId="0" fontId="11" fillId="11" borderId="21" xfId="0" applyFont="1" applyFill="1" applyBorder="1" applyAlignment="1">
      <alignment horizontal="left"/>
    </xf>
    <xf numFmtId="164" fontId="6" fillId="11" borderId="21" xfId="0" applyNumberFormat="1" applyFont="1" applyFill="1" applyBorder="1" applyAlignment="1">
      <alignment horizontal="center"/>
    </xf>
    <xf numFmtId="2" fontId="6" fillId="11" borderId="21" xfId="0" applyNumberFormat="1" applyFont="1" applyFill="1" applyBorder="1" applyAlignment="1">
      <alignment horizontal="center"/>
    </xf>
    <xf numFmtId="164" fontId="5" fillId="11" borderId="21" xfId="0" applyNumberFormat="1" applyFont="1" applyFill="1" applyBorder="1" applyAlignment="1">
      <alignment horizontal="center"/>
    </xf>
    <xf numFmtId="168" fontId="5" fillId="11" borderId="21" xfId="1" applyNumberFormat="1" applyFont="1" applyFill="1" applyBorder="1" applyAlignment="1">
      <alignment horizontal="center"/>
    </xf>
    <xf numFmtId="0" fontId="0" fillId="11" borderId="0" xfId="0" applyFill="1"/>
    <xf numFmtId="0" fontId="21" fillId="8" borderId="21" xfId="0" applyFont="1" applyFill="1" applyBorder="1" applyAlignment="1">
      <alignment horizontal="left"/>
    </xf>
    <xf numFmtId="0" fontId="21" fillId="8" borderId="21" xfId="0" applyNumberFormat="1" applyFont="1" applyFill="1" applyBorder="1" applyAlignment="1">
      <alignment horizontal="center"/>
    </xf>
    <xf numFmtId="0" fontId="0" fillId="8" borderId="21" xfId="0" applyFill="1" applyBorder="1" applyAlignment="1">
      <alignment horizontal="left"/>
    </xf>
    <xf numFmtId="0" fontId="0" fillId="8" borderId="21" xfId="0" applyFill="1" applyBorder="1"/>
    <xf numFmtId="0" fontId="0" fillId="8" borderId="21" xfId="0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2" fillId="12" borderId="21" xfId="0" applyNumberFormat="1" applyFont="1" applyFill="1" applyBorder="1" applyAlignment="1">
      <alignment horizontal="center"/>
    </xf>
    <xf numFmtId="0" fontId="19" fillId="11" borderId="0" xfId="0" applyFont="1" applyFill="1"/>
    <xf numFmtId="0" fontId="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4" fontId="2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9" borderId="21" xfId="0" applyFont="1" applyFill="1" applyBorder="1" applyAlignment="1">
      <alignment horizontal="left"/>
    </xf>
    <xf numFmtId="164" fontId="2" fillId="6" borderId="21" xfId="0" applyNumberFormat="1" applyFont="1" applyFill="1" applyBorder="1" applyAlignment="1">
      <alignment horizontal="center"/>
    </xf>
    <xf numFmtId="0" fontId="22" fillId="6" borderId="18" xfId="0" applyNumberFormat="1" applyFont="1" applyFill="1" applyBorder="1" applyAlignment="1">
      <alignment horizontal="center"/>
    </xf>
    <xf numFmtId="0" fontId="22" fillId="6" borderId="19" xfId="0" applyNumberFormat="1" applyFont="1" applyFill="1" applyBorder="1" applyAlignment="1">
      <alignment horizontal="center"/>
    </xf>
    <xf numFmtId="0" fontId="22" fillId="6" borderId="20" xfId="0" applyNumberFormat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3" fillId="0" borderId="12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6" xfId="0" applyFont="1" applyBorder="1" applyAlignment="1">
      <alignment horizontal="justify" vertical="justify"/>
    </xf>
    <xf numFmtId="0" fontId="5" fillId="0" borderId="12" xfId="0" applyFont="1" applyBorder="1" applyAlignment="1">
      <alignment horizontal="justify" vertical="justify"/>
    </xf>
    <xf numFmtId="0" fontId="5" fillId="0" borderId="13" xfId="0" applyFont="1" applyBorder="1" applyAlignment="1">
      <alignment horizontal="justify" vertical="justify"/>
    </xf>
    <xf numFmtId="0" fontId="5" fillId="0" borderId="14" xfId="0" applyFont="1" applyBorder="1" applyAlignment="1">
      <alignment horizontal="justify" vertical="justify"/>
    </xf>
    <xf numFmtId="0" fontId="5" fillId="0" borderId="17" xfId="0" applyFont="1" applyBorder="1" applyAlignment="1">
      <alignment horizontal="justify" vertical="justify"/>
    </xf>
    <xf numFmtId="169" fontId="5" fillId="5" borderId="40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43" xfId="0" applyBorder="1" applyAlignment="1">
      <alignment horizontal="left"/>
    </xf>
    <xf numFmtId="0" fontId="5" fillId="2" borderId="46" xfId="0" applyNumberFormat="1" applyFont="1" applyFill="1" applyBorder="1" applyAlignment="1">
      <alignment horizontal="center"/>
    </xf>
    <xf numFmtId="0" fontId="5" fillId="2" borderId="37" xfId="0" applyNumberFormat="1" applyFont="1" applyFill="1" applyBorder="1" applyAlignment="1">
      <alignment horizontal="center"/>
    </xf>
    <xf numFmtId="0" fontId="20" fillId="3" borderId="44" xfId="0" applyNumberFormat="1" applyFont="1" applyFill="1" applyBorder="1" applyAlignment="1">
      <alignment horizontal="center"/>
    </xf>
    <xf numFmtId="0" fontId="20" fillId="3" borderId="45" xfId="0" applyNumberFormat="1" applyFont="1" applyFill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1" borderId="47" xfId="0" applyNumberFormat="1" applyFont="1" applyFill="1" applyBorder="1" applyAlignment="1">
      <alignment horizontal="center"/>
    </xf>
    <xf numFmtId="0" fontId="4" fillId="1" borderId="48" xfId="0" applyNumberFormat="1" applyFont="1" applyFill="1" applyBorder="1" applyAlignment="1">
      <alignment horizontal="center"/>
    </xf>
    <xf numFmtId="0" fontId="4" fillId="1" borderId="49" xfId="0" applyNumberFormat="1" applyFont="1" applyFill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21" fontId="7" fillId="1" borderId="5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249B1B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6B543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A943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38100</xdr:rowOff>
    </xdr:from>
    <xdr:to>
      <xdr:col>2</xdr:col>
      <xdr:colOff>361950</xdr:colOff>
      <xdr:row>2</xdr:row>
      <xdr:rowOff>180975</xdr:rowOff>
    </xdr:to>
    <xdr:pic>
      <xdr:nvPicPr>
        <xdr:cNvPr id="113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8100"/>
          <a:ext cx="9048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212725</xdr:colOff>
      <xdr:row>0</xdr:row>
      <xdr:rowOff>38100</xdr:rowOff>
    </xdr:from>
    <xdr:to>
      <xdr:col>3</xdr:col>
      <xdr:colOff>67351</xdr:colOff>
      <xdr:row>2</xdr:row>
      <xdr:rowOff>149224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38100"/>
          <a:ext cx="1200826" cy="1228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38100</xdr:rowOff>
    </xdr:from>
    <xdr:to>
      <xdr:col>2</xdr:col>
      <xdr:colOff>685800</xdr:colOff>
      <xdr:row>5</xdr:row>
      <xdr:rowOff>95250</xdr:rowOff>
    </xdr:to>
    <xdr:pic>
      <xdr:nvPicPr>
        <xdr:cNvPr id="326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38100"/>
          <a:ext cx="100965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38099</xdr:rowOff>
    </xdr:from>
    <xdr:to>
      <xdr:col>2</xdr:col>
      <xdr:colOff>875615</xdr:colOff>
      <xdr:row>5</xdr:row>
      <xdr:rowOff>143881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8099"/>
          <a:ext cx="1419901" cy="14528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38100</xdr:rowOff>
    </xdr:from>
    <xdr:to>
      <xdr:col>2</xdr:col>
      <xdr:colOff>457200</xdr:colOff>
      <xdr:row>6</xdr:row>
      <xdr:rowOff>114300</xdr:rowOff>
    </xdr:to>
    <xdr:pic>
      <xdr:nvPicPr>
        <xdr:cNvPr id="217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247650"/>
          <a:ext cx="9906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814119</xdr:colOff>
      <xdr:row>6</xdr:row>
      <xdr:rowOff>88900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563419" cy="162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showOutlineSymbols="0" zoomScale="75" zoomScaleNormal="87" workbookViewId="0">
      <selection activeCell="R2" sqref="R2"/>
    </sheetView>
  </sheetViews>
  <sheetFormatPr baseColWidth="10" defaultColWidth="9.6640625" defaultRowHeight="15"/>
  <cols>
    <col min="1" max="1" width="2.44140625" style="1" customWidth="1"/>
    <col min="2" max="2" width="8.88671875" style="1" customWidth="1"/>
    <col min="3" max="3" width="6.77734375" style="1" customWidth="1"/>
    <col min="4" max="4" width="5.21875" style="1" customWidth="1"/>
    <col min="5" max="5" width="10.33203125" style="1" customWidth="1"/>
    <col min="6" max="6" width="7.77734375" style="1" bestFit="1" customWidth="1"/>
    <col min="7" max="7" width="5.88671875" style="1" customWidth="1"/>
    <col min="8" max="8" width="11.6640625" style="1" customWidth="1"/>
    <col min="9" max="9" width="7.6640625" style="1" customWidth="1"/>
    <col min="10" max="10" width="11" style="1" customWidth="1"/>
    <col min="11" max="11" width="9.5546875" style="1" customWidth="1"/>
    <col min="12" max="12" width="9.6640625" style="1" customWidth="1"/>
    <col min="13" max="13" width="16.21875" style="1" bestFit="1" customWidth="1"/>
    <col min="14" max="14" width="9.6640625" style="1"/>
    <col min="15" max="15" width="21.21875" style="1" customWidth="1"/>
    <col min="16" max="16384" width="9.6640625" style="1"/>
  </cols>
  <sheetData>
    <row r="1" spans="2:16" ht="56.25" customHeight="1" thickTop="1" thickBot="1">
      <c r="D1" s="201" t="s">
        <v>104</v>
      </c>
      <c r="E1" s="202"/>
      <c r="F1" s="202"/>
      <c r="G1" s="202"/>
      <c r="H1" s="202"/>
      <c r="I1" s="202"/>
      <c r="J1" s="202"/>
      <c r="K1" s="203"/>
      <c r="L1"/>
      <c r="M1" s="3"/>
      <c r="N1" s="3" t="s">
        <v>100</v>
      </c>
    </row>
    <row r="2" spans="2:16" ht="31.5" customHeight="1" thickTop="1" thickBot="1">
      <c r="D2" s="3"/>
      <c r="E2" s="3"/>
      <c r="F2" s="3"/>
      <c r="G2" s="3"/>
      <c r="H2" s="3"/>
      <c r="I2" s="3"/>
      <c r="J2" s="3"/>
      <c r="K2" s="3"/>
      <c r="L2"/>
      <c r="M2" s="13" t="s">
        <v>32</v>
      </c>
      <c r="N2" s="14" t="s">
        <v>103</v>
      </c>
    </row>
    <row r="3" spans="2:16" ht="31.5" customHeight="1" thickBot="1">
      <c r="D3" s="3"/>
      <c r="E3" s="3"/>
      <c r="F3" s="3"/>
      <c r="G3" s="3"/>
      <c r="H3" s="131" t="str">
        <f>+N1</f>
        <v>CET-P 40</v>
      </c>
      <c r="I3" s="3"/>
      <c r="J3" s="3"/>
      <c r="K3" s="3"/>
      <c r="L3"/>
      <c r="M3" s="15" t="s">
        <v>33</v>
      </c>
      <c r="N3" s="104">
        <v>43281</v>
      </c>
    </row>
    <row r="4" spans="2:16" ht="31.5" customHeight="1" thickBot="1">
      <c r="D4" s="3"/>
      <c r="E4" s="3"/>
      <c r="F4" s="3"/>
      <c r="G4" s="3"/>
      <c r="H4" s="4"/>
      <c r="I4" s="3"/>
      <c r="J4" s="3"/>
      <c r="K4" s="3"/>
      <c r="L4"/>
      <c r="M4" s="16" t="s">
        <v>34</v>
      </c>
      <c r="N4" s="115">
        <f>N9+N11</f>
        <v>43.5</v>
      </c>
    </row>
    <row r="5" spans="2:16" ht="31.5" customHeight="1" thickBot="1">
      <c r="D5" s="132" t="str">
        <f>IF(N2="","LUGAR",N2)</f>
        <v>Atzeneta</v>
      </c>
      <c r="E5" s="133"/>
      <c r="F5" s="216">
        <f>IF(N3="","FECHA",N3)</f>
        <v>43281</v>
      </c>
      <c r="G5" s="216"/>
      <c r="H5" s="216"/>
      <c r="I5" s="134" t="s">
        <v>83</v>
      </c>
      <c r="J5" s="135">
        <f>IF(N6="","",N6)</f>
        <v>0.39583333333333331</v>
      </c>
      <c r="K5" s="136" t="s">
        <v>19</v>
      </c>
      <c r="L5" s="2"/>
      <c r="M5" s="16" t="s">
        <v>35</v>
      </c>
      <c r="N5" s="17">
        <f>N10+N12+N14+N16</f>
        <v>2.0833333333333332E-2</v>
      </c>
    </row>
    <row r="6" spans="2:16" ht="3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9"/>
      <c r="M6" s="18" t="s">
        <v>36</v>
      </c>
      <c r="N6" s="19">
        <v>0.39583333333333331</v>
      </c>
    </row>
    <row r="7" spans="2:16" ht="31.5" customHeight="1" thickBot="1">
      <c r="B7" s="3"/>
      <c r="C7" s="3"/>
      <c r="D7" s="3"/>
      <c r="E7" s="3"/>
      <c r="F7" s="3"/>
      <c r="G7" s="3"/>
      <c r="H7" s="3"/>
      <c r="I7" s="3"/>
      <c r="J7" s="3"/>
      <c r="K7" s="8" t="s">
        <v>20</v>
      </c>
      <c r="L7" s="9"/>
      <c r="M7" s="18" t="s">
        <v>37</v>
      </c>
      <c r="N7" s="100">
        <v>10</v>
      </c>
      <c r="O7" s="162" t="s">
        <v>100</v>
      </c>
    </row>
    <row r="8" spans="2:16" ht="31.5" customHeight="1" thickTop="1" thickBot="1">
      <c r="B8" s="42" t="s">
        <v>25</v>
      </c>
      <c r="C8" s="112">
        <f>IF(N9="","",N9)</f>
        <v>22.5</v>
      </c>
      <c r="D8" s="43" t="s">
        <v>26</v>
      </c>
      <c r="E8" s="44" t="str">
        <f>IF(N11="","Llegada","Desc. Obligat.")</f>
        <v>Desc. Obligat.</v>
      </c>
      <c r="F8" s="94">
        <f>IF(N10="","",N10)</f>
        <v>2.0833333333333332E-2</v>
      </c>
      <c r="G8" s="25"/>
      <c r="H8" s="42" t="s">
        <v>2</v>
      </c>
      <c r="I8" s="50"/>
      <c r="J8" s="51">
        <f>N6</f>
        <v>0.39583333333333331</v>
      </c>
      <c r="K8" s="52" t="s">
        <v>21</v>
      </c>
      <c r="L8" s="7"/>
      <c r="M8" s="18" t="s">
        <v>98</v>
      </c>
      <c r="N8" s="20">
        <v>15</v>
      </c>
    </row>
    <row r="9" spans="2:16" ht="31.5" customHeight="1" thickBot="1">
      <c r="B9" s="45" t="s">
        <v>27</v>
      </c>
      <c r="C9" s="113">
        <f>IF(N11="","",N11)</f>
        <v>21</v>
      </c>
      <c r="D9" s="11" t="str">
        <f>IF(N11="","","km.")</f>
        <v>km.</v>
      </c>
      <c r="E9" s="41" t="str">
        <f>IF(E8="Llegada","",IF(N13="","Llegada","Desc. Obligat."))</f>
        <v>Llegada</v>
      </c>
      <c r="F9" s="95" t="str">
        <f>IF(N12="","",N12)</f>
        <v/>
      </c>
      <c r="G9" s="25"/>
      <c r="H9" s="45" t="s">
        <v>12</v>
      </c>
      <c r="I9" s="6"/>
      <c r="J9" s="27">
        <f>N4</f>
        <v>43.5</v>
      </c>
      <c r="K9" s="53" t="s">
        <v>22</v>
      </c>
      <c r="L9" s="7"/>
      <c r="M9" s="155" t="s">
        <v>38</v>
      </c>
      <c r="N9" s="156">
        <v>22.5</v>
      </c>
      <c r="O9" s="160" t="s">
        <v>105</v>
      </c>
      <c r="P9" s="157"/>
    </row>
    <row r="10" spans="2:16" ht="31.5" customHeight="1" thickBot="1">
      <c r="B10" s="45" t="s">
        <v>28</v>
      </c>
      <c r="C10" s="113" t="str">
        <f>IF(N13="","",N13)</f>
        <v/>
      </c>
      <c r="D10" s="11" t="str">
        <f>IF(N13="","","km.")</f>
        <v/>
      </c>
      <c r="E10" s="41" t="str">
        <f>IF(E9="","",IF(E9="Llegada","",IF(N15="","Llegada","Desc. Obligat.")))</f>
        <v/>
      </c>
      <c r="F10" s="95" t="str">
        <f>IF(N14="","",N14)</f>
        <v/>
      </c>
      <c r="G10" s="25"/>
      <c r="H10" s="45" t="s">
        <v>13</v>
      </c>
      <c r="I10" s="25"/>
      <c r="J10" s="65" t="str">
        <f>IF(N9="","0",IF(N11="","1",IF(N13="","2",(IF(N15="","3",IF(N17="","4","5"))))))</f>
        <v>2</v>
      </c>
      <c r="K10" s="75" t="s">
        <v>88</v>
      </c>
      <c r="L10" s="7"/>
      <c r="M10" s="18" t="s">
        <v>39</v>
      </c>
      <c r="N10" s="21">
        <v>2.0833333333333332E-2</v>
      </c>
    </row>
    <row r="11" spans="2:16" ht="31.5" customHeight="1" thickBot="1">
      <c r="B11" s="45" t="s">
        <v>29</v>
      </c>
      <c r="C11" s="113" t="str">
        <f>IF(N15="","",N15)</f>
        <v/>
      </c>
      <c r="D11" s="11" t="str">
        <f>IF(N15="","","km.")</f>
        <v/>
      </c>
      <c r="E11" s="72" t="str">
        <f>IF(E10="","",IF(E10="Llegada","",IF(N17="","Llegada","Desc. Obligat.")))</f>
        <v/>
      </c>
      <c r="F11" s="95" t="str">
        <f>IF(N16="","",N16)</f>
        <v/>
      </c>
      <c r="G11" s="25"/>
      <c r="H11" s="45" t="s">
        <v>14</v>
      </c>
      <c r="I11" s="25"/>
      <c r="J11" s="25">
        <f>N7</f>
        <v>10</v>
      </c>
      <c r="K11" s="53" t="s">
        <v>23</v>
      </c>
      <c r="L11" s="7"/>
      <c r="M11" s="155" t="s">
        <v>40</v>
      </c>
      <c r="N11" s="158">
        <v>21</v>
      </c>
      <c r="O11" s="161" t="s">
        <v>106</v>
      </c>
      <c r="P11" s="157"/>
    </row>
    <row r="12" spans="2:16" ht="31.5" customHeight="1">
      <c r="B12" s="45" t="s">
        <v>30</v>
      </c>
      <c r="C12" s="113" t="str">
        <f>IF(N17="","",N17)</f>
        <v/>
      </c>
      <c r="D12" s="11" t="str">
        <f>IF(N17="","","km.")</f>
        <v/>
      </c>
      <c r="E12" s="23" t="str">
        <f>IF(E11="","",IF(E11="Llegada","","Llegada"))</f>
        <v/>
      </c>
      <c r="F12" s="73"/>
      <c r="G12" s="25"/>
      <c r="H12" s="45" t="s">
        <v>15</v>
      </c>
      <c r="I12" s="25"/>
      <c r="J12" s="26">
        <f>+J9/J11/24</f>
        <v>0.18124999999999999</v>
      </c>
      <c r="K12" s="53" t="s">
        <v>24</v>
      </c>
      <c r="L12" s="7"/>
      <c r="M12" s="18" t="s">
        <v>41</v>
      </c>
      <c r="N12" s="21"/>
    </row>
    <row r="13" spans="2:16" ht="31.5" customHeight="1">
      <c r="B13" s="46"/>
      <c r="C13" s="113"/>
      <c r="D13" s="11"/>
      <c r="E13" s="23"/>
      <c r="F13" s="73"/>
      <c r="G13" s="25"/>
      <c r="H13" s="45" t="s">
        <v>16</v>
      </c>
      <c r="I13" s="6"/>
      <c r="J13" s="40">
        <f>N5</f>
        <v>2.0833333333333332E-2</v>
      </c>
      <c r="K13" s="53" t="s">
        <v>24</v>
      </c>
      <c r="L13" s="7"/>
      <c r="M13" s="18" t="s">
        <v>42</v>
      </c>
      <c r="N13" s="22"/>
    </row>
    <row r="14" spans="2:16" ht="31.5" customHeight="1" thickBot="1">
      <c r="B14" s="47" t="s">
        <v>1</v>
      </c>
      <c r="C14" s="114">
        <f>C8+C9</f>
        <v>43.5</v>
      </c>
      <c r="D14" s="48" t="s">
        <v>26</v>
      </c>
      <c r="E14" s="49" t="s">
        <v>31</v>
      </c>
      <c r="F14" s="74">
        <f>IF(N5="0:00:00","0:00:00",N5)</f>
        <v>2.0833333333333332E-2</v>
      </c>
      <c r="G14" s="25"/>
      <c r="H14" s="47" t="s">
        <v>6</v>
      </c>
      <c r="I14" s="54"/>
      <c r="J14" s="55">
        <f>J12+N6+N5</f>
        <v>0.59791666666666665</v>
      </c>
      <c r="K14" s="56" t="s">
        <v>24</v>
      </c>
      <c r="L14" s="7"/>
      <c r="M14" s="18" t="s">
        <v>41</v>
      </c>
      <c r="N14" s="21"/>
    </row>
    <row r="15" spans="2:16" ht="31.5" customHeight="1" thickTop="1" thickBot="1">
      <c r="B15" s="25"/>
      <c r="C15" s="25"/>
      <c r="D15" s="25"/>
      <c r="E15" s="25"/>
      <c r="F15" s="25"/>
      <c r="G15" s="4"/>
      <c r="H15" s="25"/>
      <c r="I15" s="25"/>
      <c r="J15" s="25"/>
      <c r="K15" s="25"/>
      <c r="L15" s="9"/>
      <c r="M15" s="39" t="s">
        <v>43</v>
      </c>
      <c r="N15" s="22"/>
    </row>
    <row r="16" spans="2:16" ht="31.5" customHeight="1" thickTop="1" thickBot="1">
      <c r="B16" s="57" t="s">
        <v>0</v>
      </c>
      <c r="C16" s="58" t="str">
        <f>N2</f>
        <v>Atzeneta</v>
      </c>
      <c r="D16" s="59"/>
      <c r="E16" s="58"/>
      <c r="F16" s="60"/>
      <c r="G16" s="25"/>
      <c r="H16" s="57" t="s">
        <v>17</v>
      </c>
      <c r="I16" s="58" t="str">
        <f>N2</f>
        <v>Atzeneta</v>
      </c>
      <c r="J16" s="58"/>
      <c r="K16" s="60"/>
      <c r="L16" s="7"/>
      <c r="M16" s="18" t="s">
        <v>41</v>
      </c>
      <c r="N16" s="21"/>
    </row>
    <row r="17" spans="2:16" ht="31.5" customHeight="1" thickTop="1">
      <c r="B17" s="42" t="s">
        <v>2</v>
      </c>
      <c r="C17" s="50"/>
      <c r="D17" s="62"/>
      <c r="E17" s="51">
        <f>N6</f>
        <v>0.39583333333333331</v>
      </c>
      <c r="F17" s="52" t="s">
        <v>8</v>
      </c>
      <c r="G17" s="25"/>
      <c r="H17" s="42" t="s">
        <v>2</v>
      </c>
      <c r="I17" s="50"/>
      <c r="J17" s="204" t="s">
        <v>64</v>
      </c>
      <c r="K17" s="205"/>
      <c r="L17" s="7"/>
      <c r="M17" s="12" t="s">
        <v>44</v>
      </c>
      <c r="N17" s="24"/>
    </row>
    <row r="18" spans="2:16" ht="31.5" customHeight="1">
      <c r="B18" s="45" t="s">
        <v>3</v>
      </c>
      <c r="C18" s="25"/>
      <c r="D18" s="6"/>
      <c r="E18" s="111">
        <f>N9</f>
        <v>22.5</v>
      </c>
      <c r="F18" s="53" t="s">
        <v>9</v>
      </c>
      <c r="G18" s="25"/>
      <c r="H18" s="45" t="s">
        <v>3</v>
      </c>
      <c r="I18" s="25"/>
      <c r="J18" s="111">
        <f>N11</f>
        <v>21</v>
      </c>
      <c r="K18" s="53" t="s">
        <v>9</v>
      </c>
      <c r="L18" s="7"/>
      <c r="M18" s="3"/>
      <c r="N18" s="97"/>
    </row>
    <row r="19" spans="2:16" ht="31.5" customHeight="1">
      <c r="B19" s="45" t="s">
        <v>4</v>
      </c>
      <c r="C19" s="25"/>
      <c r="D19" s="6"/>
      <c r="E19" s="25">
        <f>N7</f>
        <v>10</v>
      </c>
      <c r="F19" s="53" t="s">
        <v>10</v>
      </c>
      <c r="G19" s="25"/>
      <c r="H19" s="45" t="s">
        <v>4</v>
      </c>
      <c r="I19" s="25"/>
      <c r="J19" s="25">
        <f>N7</f>
        <v>10</v>
      </c>
      <c r="K19" s="53" t="s">
        <v>10</v>
      </c>
      <c r="L19" s="7"/>
      <c r="M19" s="3"/>
      <c r="N19" s="3"/>
    </row>
    <row r="20" spans="2:16" ht="31.5" customHeight="1">
      <c r="B20" s="45" t="s">
        <v>5</v>
      </c>
      <c r="C20" s="25"/>
      <c r="D20" s="6"/>
      <c r="E20" s="26">
        <f>IF(N9="","0:00:00",E18/E19/24)</f>
        <v>9.375E-2</v>
      </c>
      <c r="F20" s="53" t="s">
        <v>8</v>
      </c>
      <c r="G20" s="25"/>
      <c r="H20" s="45" t="s">
        <v>5</v>
      </c>
      <c r="I20" s="25"/>
      <c r="J20" s="26">
        <f>IF(N11="","0:00:00",J18/J19/24)</f>
        <v>8.7500000000000008E-2</v>
      </c>
      <c r="K20" s="53" t="s">
        <v>8</v>
      </c>
      <c r="L20" s="7"/>
      <c r="M20" s="3"/>
      <c r="N20" s="3"/>
    </row>
    <row r="21" spans="2:16" ht="31.5" customHeight="1">
      <c r="B21" s="45" t="s">
        <v>6</v>
      </c>
      <c r="C21" s="25"/>
      <c r="D21" s="6"/>
      <c r="E21" s="26">
        <f>IF(N9="","0:00:00",N6+E20)</f>
        <v>0.48958333333333331</v>
      </c>
      <c r="F21" s="53" t="s">
        <v>8</v>
      </c>
      <c r="G21" s="25"/>
      <c r="H21" s="154" t="s">
        <v>6</v>
      </c>
      <c r="I21" s="25"/>
      <c r="J21" s="26">
        <f>IF(N11="","0:00:00",J20+E22+E21)</f>
        <v>0.59791666666666665</v>
      </c>
      <c r="K21" s="53" t="s">
        <v>8</v>
      </c>
      <c r="L21" s="7"/>
      <c r="M21" s="3"/>
      <c r="N21" s="3"/>
    </row>
    <row r="22" spans="2:16" ht="31.5" customHeight="1">
      <c r="B22" s="45" t="s">
        <v>7</v>
      </c>
      <c r="C22" s="25"/>
      <c r="D22" s="6"/>
      <c r="E22" s="40">
        <f>N10</f>
        <v>2.0833333333333332E-2</v>
      </c>
      <c r="F22" s="53" t="s">
        <v>11</v>
      </c>
      <c r="G22" s="25"/>
      <c r="H22" s="45" t="s">
        <v>95</v>
      </c>
      <c r="I22" s="11"/>
      <c r="J22" s="109">
        <f>N8</f>
        <v>15</v>
      </c>
      <c r="K22" s="110" t="s">
        <v>96</v>
      </c>
      <c r="L22" s="7"/>
      <c r="M22" s="3"/>
      <c r="N22" s="3"/>
      <c r="P22" s="98"/>
    </row>
    <row r="23" spans="2:16" ht="31.5" customHeight="1" thickBot="1">
      <c r="B23" s="45" t="s">
        <v>95</v>
      </c>
      <c r="C23" s="25"/>
      <c r="D23" s="6"/>
      <c r="E23" s="27">
        <f>N8</f>
        <v>15</v>
      </c>
      <c r="F23" s="75" t="s">
        <v>73</v>
      </c>
      <c r="G23" s="25"/>
      <c r="H23" s="47" t="s">
        <v>97</v>
      </c>
      <c r="I23" s="48"/>
      <c r="J23" s="102">
        <f>IF(N11="","0:00:00",J18/J22/24)</f>
        <v>5.8333333333333327E-2</v>
      </c>
      <c r="K23" s="56" t="s">
        <v>8</v>
      </c>
      <c r="L23" s="7"/>
      <c r="M23" s="3"/>
      <c r="N23" s="3"/>
      <c r="P23" s="98"/>
    </row>
    <row r="24" spans="2:16" ht="31.5" customHeight="1" thickTop="1" thickBot="1">
      <c r="B24" s="47" t="s">
        <v>97</v>
      </c>
      <c r="C24" s="54"/>
      <c r="D24" s="54"/>
      <c r="E24" s="102">
        <f>IF(N9="","0:00:00",E18/E23/24)</f>
        <v>6.25E-2</v>
      </c>
      <c r="F24" s="56" t="s">
        <v>8</v>
      </c>
      <c r="G24" s="4"/>
      <c r="H24" s="25"/>
      <c r="I24" s="25"/>
      <c r="J24" s="25"/>
      <c r="K24" s="25"/>
      <c r="L24" s="9"/>
      <c r="M24" s="3"/>
      <c r="N24" s="3"/>
      <c r="P24" s="98"/>
    </row>
    <row r="25" spans="2:16" ht="31.5" customHeight="1" thickTop="1" thickBot="1">
      <c r="B25" s="25"/>
      <c r="C25" s="25"/>
      <c r="D25" s="25"/>
      <c r="E25" s="26"/>
      <c r="F25" s="25"/>
      <c r="G25" s="4"/>
      <c r="H25" s="25"/>
      <c r="I25" s="25"/>
      <c r="J25" s="25"/>
      <c r="K25" s="25"/>
      <c r="L25" s="9"/>
      <c r="M25" s="3"/>
      <c r="N25" s="3"/>
      <c r="P25" s="98"/>
    </row>
    <row r="26" spans="2:16" ht="31.5" customHeight="1" thickTop="1" thickBot="1">
      <c r="B26" s="57" t="s">
        <v>28</v>
      </c>
      <c r="C26" s="58" t="str">
        <f>N2</f>
        <v>Atzeneta</v>
      </c>
      <c r="D26" s="59"/>
      <c r="E26" s="58"/>
      <c r="F26" s="60"/>
      <c r="G26" s="25"/>
      <c r="H26" s="206" t="s">
        <v>18</v>
      </c>
      <c r="I26" s="207"/>
      <c r="J26" s="207"/>
      <c r="K26" s="208"/>
      <c r="M26" s="3"/>
      <c r="N26" s="97"/>
      <c r="P26" s="98"/>
    </row>
    <row r="27" spans="2:16" ht="31.5" customHeight="1" thickTop="1">
      <c r="B27" s="42" t="s">
        <v>2</v>
      </c>
      <c r="C27" s="50"/>
      <c r="D27" s="61"/>
      <c r="E27" s="204" t="s">
        <v>64</v>
      </c>
      <c r="F27" s="205"/>
      <c r="G27" s="25"/>
      <c r="H27" s="209" t="s">
        <v>102</v>
      </c>
      <c r="I27" s="210"/>
      <c r="J27" s="210"/>
      <c r="K27" s="211"/>
      <c r="M27" s="3"/>
      <c r="N27" s="97"/>
      <c r="P27" s="99"/>
    </row>
    <row r="28" spans="2:16" ht="31.5" customHeight="1">
      <c r="B28" s="45" t="s">
        <v>3</v>
      </c>
      <c r="C28" s="25"/>
      <c r="D28" s="6"/>
      <c r="E28" s="27">
        <f>N13</f>
        <v>0</v>
      </c>
      <c r="F28" s="53" t="s">
        <v>9</v>
      </c>
      <c r="G28" s="25"/>
      <c r="H28" s="212"/>
      <c r="I28" s="210"/>
      <c r="J28" s="210"/>
      <c r="K28" s="211"/>
      <c r="M28" s="3"/>
      <c r="N28" s="3"/>
      <c r="P28" s="99"/>
    </row>
    <row r="29" spans="2:16" ht="31.5" customHeight="1">
      <c r="B29" s="45" t="s">
        <v>4</v>
      </c>
      <c r="C29" s="25"/>
      <c r="D29" s="6"/>
      <c r="E29" s="25">
        <f>N7</f>
        <v>10</v>
      </c>
      <c r="F29" s="53" t="s">
        <v>10</v>
      </c>
      <c r="G29" s="25"/>
      <c r="H29" s="212"/>
      <c r="I29" s="210"/>
      <c r="J29" s="210"/>
      <c r="K29" s="211"/>
      <c r="M29" s="3"/>
      <c r="N29" s="3"/>
    </row>
    <row r="30" spans="2:16" ht="31.5" customHeight="1">
      <c r="B30" s="45" t="s">
        <v>5</v>
      </c>
      <c r="C30" s="25"/>
      <c r="D30" s="6"/>
      <c r="E30" s="26" t="str">
        <f>IF(N13="","0:00:00",E28/E29/24)</f>
        <v>0:00:00</v>
      </c>
      <c r="F30" s="53" t="s">
        <v>8</v>
      </c>
      <c r="G30" s="25"/>
      <c r="H30" s="212"/>
      <c r="I30" s="210"/>
      <c r="J30" s="210"/>
      <c r="K30" s="211"/>
      <c r="M30" s="3"/>
      <c r="N30" s="3"/>
    </row>
    <row r="31" spans="2:16" ht="31.5" customHeight="1">
      <c r="B31" s="45" t="s">
        <v>6</v>
      </c>
      <c r="C31" s="25"/>
      <c r="D31" s="25"/>
      <c r="E31" s="26" t="str">
        <f>IF(N13="","0:00:00",E30+J21+J22)</f>
        <v>0:00:00</v>
      </c>
      <c r="F31" s="53" t="s">
        <v>8</v>
      </c>
      <c r="G31" s="25"/>
      <c r="H31" s="212"/>
      <c r="I31" s="210"/>
      <c r="J31" s="210"/>
      <c r="K31" s="211"/>
      <c r="M31" s="3"/>
      <c r="N31" s="3"/>
    </row>
    <row r="32" spans="2:16" ht="31.5" customHeight="1" thickBot="1">
      <c r="B32" s="47" t="str">
        <f>IF(N15="","","Descanso Obligatorio")</f>
        <v/>
      </c>
      <c r="C32" s="48"/>
      <c r="D32" s="48"/>
      <c r="E32" s="102" t="str">
        <f>+F10</f>
        <v/>
      </c>
      <c r="F32" s="103" t="str">
        <f>IF(C32="","","Minutos")</f>
        <v/>
      </c>
      <c r="G32" s="9"/>
      <c r="H32" s="213"/>
      <c r="I32" s="214"/>
      <c r="J32" s="214"/>
      <c r="K32" s="215"/>
      <c r="M32" s="3"/>
      <c r="N32" s="3"/>
    </row>
    <row r="33" spans="2:14" ht="31.5" customHeight="1" thickTop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mergeCells count="6">
    <mergeCell ref="D1:K1"/>
    <mergeCell ref="J17:K17"/>
    <mergeCell ref="H26:K26"/>
    <mergeCell ref="H27:K32"/>
    <mergeCell ref="E27:F27"/>
    <mergeCell ref="F5:H5"/>
  </mergeCells>
  <phoneticPr fontId="0" type="noConversion"/>
  <printOptions horizontalCentered="1" verticalCentered="1"/>
  <pageMargins left="0.75" right="0.78740157480314965" top="0.39370078740157483" bottom="0.98425196850393704" header="0" footer="0"/>
  <pageSetup paperSize="9" scale="50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70" workbookViewId="0">
      <selection activeCell="G28" sqref="G28"/>
    </sheetView>
  </sheetViews>
  <sheetFormatPr baseColWidth="10" defaultRowHeight="15"/>
  <cols>
    <col min="1" max="1" width="0.5546875" customWidth="1"/>
    <col min="2" max="2" width="5.77734375" customWidth="1"/>
    <col min="3" max="3" width="11.21875" customWidth="1"/>
    <col min="4" max="4" width="13.21875" customWidth="1"/>
    <col min="5" max="5" width="8" customWidth="1"/>
    <col min="6" max="6" width="7.88671875" customWidth="1"/>
    <col min="7" max="7" width="19.33203125" customWidth="1"/>
    <col min="8" max="8" width="6.77734375" customWidth="1"/>
    <col min="9" max="9" width="4.88671875" bestFit="1" customWidth="1"/>
    <col min="10" max="10" width="7.33203125" bestFit="1" customWidth="1"/>
    <col min="11" max="11" width="8.44140625" customWidth="1"/>
    <col min="13" max="13" width="11.88671875" customWidth="1"/>
    <col min="14" max="14" width="11.5546875" style="153" customWidth="1"/>
  </cols>
  <sheetData>
    <row r="1" spans="1:14" ht="34.5" thickTop="1" thickBot="1">
      <c r="A1" s="1"/>
      <c r="B1" s="1"/>
      <c r="C1" s="1"/>
      <c r="D1" s="221" t="str">
        <f>Datos!D1</f>
        <v>III RAID HÍPICO ATZENETA DEL MAESTRAT</v>
      </c>
      <c r="E1" s="222"/>
      <c r="F1" s="222"/>
      <c r="G1" s="222"/>
      <c r="H1" s="222"/>
      <c r="I1" s="222"/>
      <c r="J1" s="222"/>
      <c r="K1" s="222"/>
      <c r="L1" s="222"/>
      <c r="M1" s="101"/>
      <c r="N1" s="152"/>
    </row>
    <row r="2" spans="1:14" ht="17.25" thickTop="1" thickBot="1">
      <c r="A2" s="3"/>
      <c r="B2" s="3"/>
      <c r="C2" s="3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9.5" thickTop="1">
      <c r="A3" s="3"/>
      <c r="B3" s="3"/>
      <c r="C3" s="3"/>
      <c r="D3" s="78" t="s">
        <v>58</v>
      </c>
      <c r="E3" s="79" t="str">
        <f>+Datos!N1</f>
        <v>CET-P 40</v>
      </c>
      <c r="F3" s="79"/>
      <c r="G3" s="79"/>
      <c r="H3" s="82"/>
      <c r="I3" s="84" t="s">
        <v>46</v>
      </c>
      <c r="J3" s="85"/>
      <c r="K3" s="86"/>
      <c r="L3" s="86"/>
      <c r="M3" s="87"/>
      <c r="N3" s="152"/>
    </row>
    <row r="4" spans="1:14" ht="18.75">
      <c r="A4" s="3"/>
      <c r="B4" s="3"/>
      <c r="C4" s="3"/>
      <c r="D4" s="78" t="s">
        <v>47</v>
      </c>
      <c r="E4" s="223">
        <f>Datos!N3</f>
        <v>43281</v>
      </c>
      <c r="F4" s="224"/>
      <c r="G4" s="224"/>
      <c r="H4" s="83"/>
      <c r="I4" s="88"/>
      <c r="J4" s="6"/>
      <c r="K4" s="6"/>
      <c r="L4" s="6"/>
      <c r="M4" s="89"/>
      <c r="N4" s="152"/>
    </row>
    <row r="5" spans="1:14" ht="16.5" thickBot="1">
      <c r="A5" s="3"/>
      <c r="B5" s="3"/>
      <c r="C5" s="3"/>
      <c r="D5" s="78" t="s">
        <v>48</v>
      </c>
      <c r="E5" s="159">
        <f>Datos!N4</f>
        <v>43.5</v>
      </c>
      <c r="F5" s="80" t="s">
        <v>57</v>
      </c>
      <c r="G5" s="81">
        <f>Datos!N6</f>
        <v>0.39583333333333331</v>
      </c>
      <c r="H5" s="83"/>
      <c r="I5" s="90" t="s">
        <v>49</v>
      </c>
      <c r="J5" s="91"/>
      <c r="K5" s="91"/>
      <c r="L5" s="91"/>
      <c r="M5" s="92"/>
      <c r="N5" s="152"/>
    </row>
    <row r="6" spans="1:14" ht="17.25" thickTop="1" thickBot="1">
      <c r="A6" s="3"/>
      <c r="B6" s="3"/>
      <c r="C6" s="3"/>
      <c r="D6" s="7"/>
      <c r="E6" s="7"/>
      <c r="F6" s="7"/>
      <c r="G6" s="7"/>
      <c r="H6" s="7"/>
      <c r="I6" s="7"/>
      <c r="J6" s="7"/>
      <c r="K6" s="7"/>
      <c r="L6" s="7"/>
      <c r="M6" s="28" t="s">
        <v>63</v>
      </c>
    </row>
    <row r="7" spans="1:14" ht="16.5" thickBot="1">
      <c r="A7" s="93" t="s">
        <v>84</v>
      </c>
      <c r="B7" s="116"/>
      <c r="C7" s="219" t="s">
        <v>50</v>
      </c>
      <c r="D7" s="220"/>
      <c r="E7" s="219" t="s">
        <v>51</v>
      </c>
      <c r="F7" s="220"/>
      <c r="G7" s="117" t="s">
        <v>60</v>
      </c>
      <c r="H7" s="118" t="s">
        <v>59</v>
      </c>
      <c r="I7" s="118" t="s">
        <v>52</v>
      </c>
      <c r="J7" s="119" t="s">
        <v>53</v>
      </c>
      <c r="K7" s="119" t="s">
        <v>54</v>
      </c>
      <c r="L7" s="119" t="s">
        <v>55</v>
      </c>
      <c r="M7" s="120" t="s">
        <v>56</v>
      </c>
      <c r="N7" s="152"/>
    </row>
    <row r="8" spans="1:14" ht="18" customHeight="1">
      <c r="A8" s="107"/>
      <c r="B8" s="168">
        <v>43</v>
      </c>
      <c r="C8" s="172" t="s">
        <v>136</v>
      </c>
      <c r="D8" s="172"/>
      <c r="E8" s="121" t="s">
        <v>137</v>
      </c>
      <c r="F8" s="126"/>
      <c r="G8" s="125" t="s">
        <v>145</v>
      </c>
      <c r="H8" s="129">
        <v>2013</v>
      </c>
      <c r="I8" s="127"/>
      <c r="J8" s="127" t="s">
        <v>138</v>
      </c>
      <c r="K8" s="128"/>
      <c r="L8" s="124" t="s">
        <v>129</v>
      </c>
      <c r="M8" s="122"/>
      <c r="N8"/>
    </row>
    <row r="9" spans="1:14" ht="18" customHeight="1">
      <c r="A9" s="108"/>
      <c r="B9" s="168">
        <v>45</v>
      </c>
      <c r="C9" s="172" t="s">
        <v>126</v>
      </c>
      <c r="D9" s="172"/>
      <c r="E9" s="121" t="s">
        <v>127</v>
      </c>
      <c r="F9" s="126"/>
      <c r="G9" s="125" t="s">
        <v>144</v>
      </c>
      <c r="H9" s="129">
        <v>2013</v>
      </c>
      <c r="I9" s="127"/>
      <c r="J9" s="127" t="s">
        <v>138</v>
      </c>
      <c r="K9" s="128"/>
      <c r="L9" s="124" t="s">
        <v>128</v>
      </c>
      <c r="M9" s="122"/>
      <c r="N9"/>
    </row>
    <row r="10" spans="1:14" ht="18" customHeight="1">
      <c r="A10" s="108"/>
      <c r="B10" s="168">
        <v>46</v>
      </c>
      <c r="C10" s="187" t="s">
        <v>130</v>
      </c>
      <c r="D10" s="187"/>
      <c r="E10" s="188"/>
      <c r="F10" s="126"/>
      <c r="G10" s="125" t="s">
        <v>131</v>
      </c>
      <c r="H10" s="129"/>
      <c r="I10" s="127"/>
      <c r="J10" s="127"/>
      <c r="K10" s="128"/>
      <c r="L10" s="188"/>
      <c r="M10" s="122"/>
      <c r="N10"/>
    </row>
    <row r="11" spans="1:14" ht="18" customHeight="1">
      <c r="A11" s="108"/>
      <c r="B11" s="169">
        <v>47</v>
      </c>
      <c r="C11" s="189" t="s">
        <v>139</v>
      </c>
      <c r="D11" s="189"/>
      <c r="E11" s="190"/>
      <c r="F11" s="137"/>
      <c r="G11" s="167" t="s">
        <v>132</v>
      </c>
      <c r="H11" s="175">
        <v>2012</v>
      </c>
      <c r="I11" s="137"/>
      <c r="J11" s="137" t="s">
        <v>140</v>
      </c>
      <c r="K11" s="137"/>
      <c r="L11" s="191"/>
      <c r="M11" s="137"/>
      <c r="N11"/>
    </row>
    <row r="12" spans="1:14" ht="18" customHeight="1">
      <c r="A12" s="108"/>
      <c r="B12" s="168">
        <v>48</v>
      </c>
      <c r="C12" s="163" t="s">
        <v>109</v>
      </c>
      <c r="D12" s="164"/>
      <c r="E12" s="165">
        <v>251773</v>
      </c>
      <c r="F12" s="137"/>
      <c r="G12" s="163" t="s">
        <v>110</v>
      </c>
      <c r="H12" s="122" t="s">
        <v>125</v>
      </c>
      <c r="I12" s="123"/>
      <c r="J12" s="123"/>
      <c r="K12" s="123"/>
      <c r="L12" s="165">
        <v>119404</v>
      </c>
      <c r="M12" s="122"/>
      <c r="N12"/>
    </row>
    <row r="13" spans="1:14" ht="18" customHeight="1">
      <c r="A13" s="108"/>
      <c r="B13" s="168">
        <v>49</v>
      </c>
      <c r="C13" s="163" t="s">
        <v>111</v>
      </c>
      <c r="D13" s="164"/>
      <c r="E13" s="165">
        <v>135185</v>
      </c>
      <c r="F13" s="137"/>
      <c r="G13" s="163" t="s">
        <v>112</v>
      </c>
      <c r="H13" s="122" t="s">
        <v>125</v>
      </c>
      <c r="I13" s="121"/>
      <c r="J13" s="123"/>
      <c r="K13" s="124"/>
      <c r="L13" s="165">
        <v>127636</v>
      </c>
      <c r="M13" s="122"/>
      <c r="N13"/>
    </row>
    <row r="14" spans="1:14" ht="18" customHeight="1">
      <c r="A14" s="108"/>
      <c r="B14" s="168">
        <v>50</v>
      </c>
      <c r="C14" s="163" t="s">
        <v>113</v>
      </c>
      <c r="D14" s="164"/>
      <c r="E14" s="165">
        <v>2793</v>
      </c>
      <c r="F14" s="137"/>
      <c r="G14" s="163" t="s">
        <v>114</v>
      </c>
      <c r="H14" s="122" t="s">
        <v>125</v>
      </c>
      <c r="I14" s="123"/>
      <c r="J14" s="123"/>
      <c r="K14" s="123"/>
      <c r="L14" s="165">
        <v>121278</v>
      </c>
      <c r="M14" s="122"/>
      <c r="N14"/>
    </row>
    <row r="15" spans="1:14" ht="18" customHeight="1">
      <c r="A15" s="108"/>
      <c r="B15" s="168">
        <v>54</v>
      </c>
      <c r="C15" s="163" t="s">
        <v>115</v>
      </c>
      <c r="D15" s="164"/>
      <c r="E15" s="165">
        <v>254396</v>
      </c>
      <c r="F15" s="137"/>
      <c r="G15" s="163" t="s">
        <v>116</v>
      </c>
      <c r="H15" s="122" t="s">
        <v>125</v>
      </c>
      <c r="I15" s="123"/>
      <c r="J15" s="123"/>
      <c r="K15" s="123"/>
      <c r="L15" s="165">
        <v>131277</v>
      </c>
      <c r="M15" s="122"/>
      <c r="N15"/>
    </row>
    <row r="16" spans="1:14" ht="18" customHeight="1">
      <c r="A16" s="108"/>
      <c r="B16" s="168">
        <v>56</v>
      </c>
      <c r="C16" s="171" t="s">
        <v>117</v>
      </c>
      <c r="D16" s="174"/>
      <c r="E16" s="165">
        <v>251727</v>
      </c>
      <c r="F16" s="137"/>
      <c r="G16" s="163" t="s">
        <v>118</v>
      </c>
      <c r="H16" s="122" t="s">
        <v>125</v>
      </c>
      <c r="I16" s="123"/>
      <c r="J16" s="123"/>
      <c r="K16" s="123"/>
      <c r="L16" s="165">
        <v>131287</v>
      </c>
      <c r="M16" s="122"/>
      <c r="N16"/>
    </row>
    <row r="17" spans="1:14" ht="18" customHeight="1">
      <c r="A17" s="108"/>
      <c r="B17" s="168">
        <v>57</v>
      </c>
      <c r="C17" s="171" t="s">
        <v>119</v>
      </c>
      <c r="D17" s="174"/>
      <c r="E17" s="165">
        <v>205506</v>
      </c>
      <c r="F17" s="137"/>
      <c r="G17" s="163" t="s">
        <v>120</v>
      </c>
      <c r="H17" s="122" t="s">
        <v>125</v>
      </c>
      <c r="I17" s="123"/>
      <c r="J17" s="123"/>
      <c r="K17" s="123"/>
      <c r="L17" s="165">
        <v>131292</v>
      </c>
      <c r="M17" s="122"/>
      <c r="N17"/>
    </row>
    <row r="18" spans="1:14" ht="18" customHeight="1">
      <c r="A18" s="108"/>
      <c r="B18" s="169">
        <v>58</v>
      </c>
      <c r="C18" s="173" t="s">
        <v>121</v>
      </c>
      <c r="D18" s="174"/>
      <c r="E18" s="165">
        <v>252544</v>
      </c>
      <c r="F18" s="137"/>
      <c r="G18" s="163" t="s">
        <v>122</v>
      </c>
      <c r="H18" s="129" t="s">
        <v>125</v>
      </c>
      <c r="I18" s="127"/>
      <c r="J18" s="127"/>
      <c r="K18" s="128"/>
      <c r="L18" s="165">
        <v>129630</v>
      </c>
      <c r="M18" s="122"/>
      <c r="N18"/>
    </row>
    <row r="19" spans="1:14" ht="18" customHeight="1">
      <c r="A19" s="108"/>
      <c r="B19" s="168">
        <v>59</v>
      </c>
      <c r="C19" s="171" t="s">
        <v>123</v>
      </c>
      <c r="D19" s="174"/>
      <c r="E19" s="165">
        <v>70256</v>
      </c>
      <c r="F19" s="137"/>
      <c r="G19" s="163" t="s">
        <v>124</v>
      </c>
      <c r="H19" s="129"/>
      <c r="I19" s="127"/>
      <c r="J19" s="127"/>
      <c r="K19" s="128"/>
      <c r="L19" s="165">
        <v>89144</v>
      </c>
      <c r="M19" s="122"/>
      <c r="N19"/>
    </row>
    <row r="20" spans="1:14" ht="15.75">
      <c r="B20" s="169">
        <v>60</v>
      </c>
      <c r="C20" s="170" t="s">
        <v>133</v>
      </c>
      <c r="D20" s="166"/>
      <c r="E20" s="137">
        <v>255213</v>
      </c>
      <c r="F20" s="137"/>
      <c r="G20" s="167" t="s">
        <v>134</v>
      </c>
      <c r="H20" s="137"/>
      <c r="I20" s="137"/>
      <c r="J20" s="137"/>
      <c r="K20" s="137"/>
      <c r="L20" s="192" t="s">
        <v>135</v>
      </c>
      <c r="M20" s="137"/>
      <c r="N20"/>
    </row>
    <row r="21" spans="1:14" ht="15.75">
      <c r="B21" s="169"/>
      <c r="C21" s="217"/>
      <c r="D21" s="218"/>
      <c r="E21" s="137"/>
      <c r="F21" s="137"/>
      <c r="G21" s="137"/>
      <c r="H21" s="137"/>
      <c r="I21" s="137"/>
      <c r="J21" s="137"/>
      <c r="K21" s="137"/>
      <c r="L21" s="137"/>
      <c r="M21" s="137"/>
      <c r="N21"/>
    </row>
    <row r="22" spans="1:14" ht="15.75">
      <c r="B22" s="169"/>
      <c r="C22" s="217"/>
      <c r="D22" s="218"/>
      <c r="E22" s="137"/>
      <c r="F22" s="137"/>
      <c r="G22" s="137"/>
      <c r="H22" s="137"/>
      <c r="I22" s="137"/>
      <c r="J22" s="137"/>
      <c r="K22" s="137"/>
      <c r="L22" s="137"/>
      <c r="M22" s="137"/>
      <c r="N22"/>
    </row>
    <row r="23" spans="1:14">
      <c r="B23" s="137"/>
      <c r="C23" s="217"/>
      <c r="D23" s="218"/>
      <c r="E23" s="137"/>
      <c r="F23" s="137"/>
      <c r="G23" s="137"/>
      <c r="H23" s="137"/>
      <c r="I23" s="137"/>
      <c r="J23" s="137"/>
      <c r="K23" s="137"/>
      <c r="L23" s="137"/>
      <c r="M23" s="137"/>
      <c r="N23"/>
    </row>
    <row r="24" spans="1:14" ht="15.75">
      <c r="B24" s="137"/>
      <c r="C24" s="163" t="s">
        <v>107</v>
      </c>
      <c r="D24" s="164"/>
      <c r="E24" s="165">
        <v>11690</v>
      </c>
      <c r="F24" s="137"/>
      <c r="G24" s="163" t="s">
        <v>108</v>
      </c>
      <c r="H24" s="129" t="s">
        <v>125</v>
      </c>
      <c r="I24" s="127"/>
      <c r="J24" s="127"/>
      <c r="K24" s="128"/>
      <c r="L24" s="165">
        <v>115662</v>
      </c>
      <c r="M24" s="130"/>
      <c r="N24"/>
    </row>
    <row r="25" spans="1:14">
      <c r="N25"/>
    </row>
    <row r="26" spans="1:14">
      <c r="N26"/>
    </row>
  </sheetData>
  <sortState ref="B8:M20">
    <sortCondition ref="B8"/>
  </sortState>
  <mergeCells count="7">
    <mergeCell ref="C23:D23"/>
    <mergeCell ref="C21:D21"/>
    <mergeCell ref="C7:D7"/>
    <mergeCell ref="D1:L1"/>
    <mergeCell ref="E7:F7"/>
    <mergeCell ref="E4:G4"/>
    <mergeCell ref="C22:D22"/>
  </mergeCells>
  <phoneticPr fontId="0" type="noConversion"/>
  <pageMargins left="0" right="0" top="0" bottom="0" header="0" footer="0"/>
  <pageSetup paperSize="9" fitToHeight="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showZeros="0" tabSelected="1" topLeftCell="A3" zoomScale="75" workbookViewId="0">
      <selection activeCell="F25" sqref="F25"/>
    </sheetView>
  </sheetViews>
  <sheetFormatPr baseColWidth="10" defaultRowHeight="15.75"/>
  <cols>
    <col min="1" max="1" width="3.88671875" customWidth="1"/>
    <col min="2" max="2" width="4.88671875" bestFit="1" customWidth="1"/>
    <col min="3" max="3" width="20.44140625" customWidth="1"/>
    <col min="4" max="4" width="25.44140625" customWidth="1"/>
    <col min="5" max="5" width="7.88671875" customWidth="1"/>
    <col min="6" max="6" width="9" customWidth="1"/>
    <col min="7" max="7" width="9.6640625" customWidth="1"/>
    <col min="8" max="8" width="6.5546875" customWidth="1"/>
    <col min="9" max="9" width="9.33203125" customWidth="1"/>
    <col min="10" max="10" width="9.6640625" customWidth="1"/>
    <col min="11" max="11" width="7.44140625" customWidth="1"/>
    <col min="12" max="12" width="7.33203125" customWidth="1"/>
    <col min="13" max="13" width="7.109375" hidden="1" customWidth="1"/>
    <col min="14" max="14" width="8.6640625" hidden="1" customWidth="1"/>
    <col min="15" max="15" width="7.44140625" hidden="1" customWidth="1"/>
    <col min="16" max="16" width="5.5546875" hidden="1" customWidth="1"/>
    <col min="17" max="17" width="8" hidden="1" customWidth="1"/>
    <col min="18" max="18" width="9.33203125" hidden="1" customWidth="1"/>
    <col min="19" max="19" width="7.44140625" hidden="1" customWidth="1"/>
    <col min="20" max="20" width="5.5546875" hidden="1" customWidth="1"/>
    <col min="21" max="21" width="7.21875" hidden="1" customWidth="1"/>
    <col min="22" max="22" width="9.109375" hidden="1" customWidth="1"/>
    <col min="23" max="23" width="6.88671875" hidden="1" customWidth="1"/>
    <col min="24" max="24" width="5.33203125" hidden="1" customWidth="1"/>
    <col min="25" max="25" width="10.109375" customWidth="1"/>
    <col min="26" max="26" width="10.44140625" customWidth="1"/>
    <col min="27" max="27" width="9.77734375" customWidth="1"/>
    <col min="28" max="28" width="8.6640625" hidden="1" customWidth="1"/>
    <col min="29" max="29" width="8.44140625" style="68" customWidth="1"/>
    <col min="30" max="30" width="8.6640625" customWidth="1"/>
    <col min="31" max="31" width="10" customWidth="1"/>
  </cols>
  <sheetData>
    <row r="1" spans="1:32" ht="16.5" thickBot="1"/>
    <row r="2" spans="1:32" ht="34.5" customHeight="1" thickTop="1" thickBot="1">
      <c r="A2" s="3"/>
      <c r="B2" s="3"/>
      <c r="C2" s="3"/>
      <c r="D2" s="227" t="str">
        <f xml:space="preserve"> Datos!D1</f>
        <v>III RAID HÍPICO ATZENETA DEL MAESTRAT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9"/>
      <c r="AD2" s="3"/>
    </row>
    <row r="3" spans="1:32" ht="16.5" thickTop="1">
      <c r="A3" s="29"/>
      <c r="B3" s="29"/>
      <c r="C3" s="29"/>
      <c r="D3" s="30"/>
      <c r="E3" s="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5"/>
      <c r="Z3" s="5"/>
      <c r="AA3" s="30"/>
      <c r="AB3" s="30"/>
      <c r="AC3" s="66">
        <f>SUM(A3:AA3)</f>
        <v>0</v>
      </c>
      <c r="AD3" s="3"/>
    </row>
    <row r="4" spans="1:32">
      <c r="A4" s="29"/>
      <c r="B4" s="29"/>
      <c r="C4" s="29"/>
      <c r="D4" s="29" t="s">
        <v>99</v>
      </c>
      <c r="E4" s="3"/>
      <c r="F4" s="29"/>
      <c r="G4" s="29"/>
      <c r="H4" s="29"/>
      <c r="I4" s="29" t="s">
        <v>93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"/>
      <c r="Z4" s="3"/>
      <c r="AA4" s="29"/>
      <c r="AB4" s="29"/>
      <c r="AC4" s="66"/>
      <c r="AD4" s="3"/>
    </row>
    <row r="5" spans="1:32">
      <c r="A5" s="29"/>
      <c r="B5" s="29"/>
      <c r="C5" s="29"/>
      <c r="D5" s="29"/>
      <c r="E5" s="3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"/>
      <c r="Z5" s="3"/>
      <c r="AA5" s="29"/>
      <c r="AB5" s="29"/>
      <c r="AC5" s="66"/>
      <c r="AD5" s="3"/>
    </row>
    <row r="6" spans="1:32" ht="20.25" customHeight="1">
      <c r="A6" s="9"/>
      <c r="B6" s="9"/>
      <c r="C6" s="9"/>
      <c r="D6" s="64" t="s">
        <v>78</v>
      </c>
      <c r="E6" s="232">
        <f>Datos!N6</f>
        <v>0.39583333333333331</v>
      </c>
      <c r="F6" s="232"/>
      <c r="G6" s="31" t="s">
        <v>94</v>
      </c>
      <c r="H6" s="106">
        <f>Datos!N18</f>
        <v>0</v>
      </c>
      <c r="I6" s="105"/>
      <c r="J6" s="34" t="s">
        <v>68</v>
      </c>
      <c r="K6" s="179">
        <f>Datos!N4</f>
        <v>43.5</v>
      </c>
      <c r="L6" s="33" t="s">
        <v>45</v>
      </c>
      <c r="M6" s="35"/>
      <c r="N6" s="96" t="str">
        <f>+Datos!N2</f>
        <v>Atzeneta</v>
      </c>
      <c r="O6" s="76"/>
      <c r="P6" s="77"/>
      <c r="Q6" s="76"/>
      <c r="R6" s="71"/>
      <c r="S6" s="71"/>
      <c r="T6" s="76" t="s">
        <v>80</v>
      </c>
      <c r="U6" s="71"/>
      <c r="V6" s="71"/>
      <c r="W6" s="71"/>
      <c r="X6" s="71"/>
      <c r="Y6" s="71"/>
      <c r="Z6" s="71"/>
      <c r="AA6" s="71">
        <f>+Datos!N5</f>
        <v>2.0833333333333332E-2</v>
      </c>
      <c r="AB6" s="36"/>
      <c r="AC6" s="32" t="s">
        <v>21</v>
      </c>
      <c r="AD6" s="10"/>
    </row>
    <row r="7" spans="1:32">
      <c r="A7" s="29"/>
      <c r="B7" s="29"/>
      <c r="C7" s="29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9"/>
      <c r="P7" s="69"/>
      <c r="Q7" s="69"/>
      <c r="R7" s="69"/>
      <c r="S7" s="69"/>
      <c r="T7" s="69"/>
      <c r="U7" s="69"/>
      <c r="V7" s="69"/>
      <c r="W7" s="69"/>
      <c r="X7" s="69"/>
      <c r="Y7" s="7"/>
      <c r="Z7" s="7"/>
      <c r="AA7" s="70"/>
      <c r="AB7" s="38"/>
      <c r="AC7" s="67" t="s">
        <v>79</v>
      </c>
      <c r="AD7" s="3"/>
    </row>
    <row r="8" spans="1:32" ht="18.75">
      <c r="A8" s="139" t="s">
        <v>61</v>
      </c>
      <c r="B8" s="140" t="s">
        <v>67</v>
      </c>
      <c r="C8" s="141"/>
      <c r="D8" s="142"/>
      <c r="E8" s="230" t="s">
        <v>81</v>
      </c>
      <c r="F8" s="231"/>
      <c r="G8" s="143" t="s">
        <v>86</v>
      </c>
      <c r="H8" s="140">
        <f>Datos!N9</f>
        <v>22.5</v>
      </c>
      <c r="I8" s="230" t="s">
        <v>69</v>
      </c>
      <c r="J8" s="231"/>
      <c r="K8" s="143" t="s">
        <v>86</v>
      </c>
      <c r="L8" s="140">
        <f>Datos!N11</f>
        <v>21</v>
      </c>
      <c r="M8" s="230" t="s">
        <v>82</v>
      </c>
      <c r="N8" s="231"/>
      <c r="O8" s="143" t="s">
        <v>86</v>
      </c>
      <c r="P8" s="140">
        <f>Datos!N13</f>
        <v>0</v>
      </c>
      <c r="Q8" s="230" t="s">
        <v>89</v>
      </c>
      <c r="R8" s="231"/>
      <c r="S8" s="143" t="s">
        <v>86</v>
      </c>
      <c r="T8" s="140" t="str">
        <f>Datos!C11</f>
        <v/>
      </c>
      <c r="U8" s="230" t="s">
        <v>90</v>
      </c>
      <c r="V8" s="231"/>
      <c r="W8" s="143" t="s">
        <v>86</v>
      </c>
      <c r="X8" s="140" t="str">
        <f>Datos!C12</f>
        <v/>
      </c>
      <c r="Y8" s="140" t="s">
        <v>85</v>
      </c>
      <c r="Z8" s="140" t="s">
        <v>70</v>
      </c>
      <c r="AA8" s="177" t="s">
        <v>70</v>
      </c>
      <c r="AB8" s="140" t="s">
        <v>70</v>
      </c>
      <c r="AC8" s="144" t="s">
        <v>71</v>
      </c>
      <c r="AD8" s="225" t="s">
        <v>87</v>
      </c>
    </row>
    <row r="9" spans="1:32" ht="18.75">
      <c r="A9" s="145" t="s">
        <v>74</v>
      </c>
      <c r="B9" s="140" t="s">
        <v>66</v>
      </c>
      <c r="C9" s="146" t="s">
        <v>60</v>
      </c>
      <c r="D9" s="147" t="s">
        <v>65</v>
      </c>
      <c r="E9" s="148" t="s">
        <v>75</v>
      </c>
      <c r="F9" s="148" t="s">
        <v>76</v>
      </c>
      <c r="G9" s="148" t="s">
        <v>72</v>
      </c>
      <c r="H9" s="148" t="s">
        <v>73</v>
      </c>
      <c r="I9" s="148" t="s">
        <v>75</v>
      </c>
      <c r="J9" s="148" t="s">
        <v>76</v>
      </c>
      <c r="K9" s="148" t="s">
        <v>72</v>
      </c>
      <c r="L9" s="148" t="s">
        <v>73</v>
      </c>
      <c r="M9" s="148" t="s">
        <v>75</v>
      </c>
      <c r="N9" s="148" t="s">
        <v>76</v>
      </c>
      <c r="O9" s="148" t="s">
        <v>72</v>
      </c>
      <c r="P9" s="148" t="s">
        <v>73</v>
      </c>
      <c r="Q9" s="148" t="s">
        <v>75</v>
      </c>
      <c r="R9" s="148" t="s">
        <v>76</v>
      </c>
      <c r="S9" s="148" t="s">
        <v>72</v>
      </c>
      <c r="T9" s="148" t="s">
        <v>73</v>
      </c>
      <c r="U9" s="148" t="s">
        <v>75</v>
      </c>
      <c r="V9" s="148" t="s">
        <v>76</v>
      </c>
      <c r="W9" s="148" t="s">
        <v>72</v>
      </c>
      <c r="X9" s="148" t="s">
        <v>73</v>
      </c>
      <c r="Y9" s="140" t="s">
        <v>91</v>
      </c>
      <c r="Z9" s="140" t="s">
        <v>92</v>
      </c>
      <c r="AA9" s="177" t="s">
        <v>62</v>
      </c>
      <c r="AB9" s="140" t="s">
        <v>77</v>
      </c>
      <c r="AC9" s="140" t="s">
        <v>73</v>
      </c>
      <c r="AD9" s="226"/>
    </row>
    <row r="10" spans="1:32" ht="26.25" customHeight="1">
      <c r="A10" s="149" t="s">
        <v>125</v>
      </c>
      <c r="B10" s="151">
        <f>Matrículas!B12</f>
        <v>48</v>
      </c>
      <c r="C10" s="195" t="str">
        <f>Matrículas!G12</f>
        <v>ALMA ALBOLETE                            MU</v>
      </c>
      <c r="D10" s="196" t="str">
        <f>Matrículas!C12</f>
        <v>SOFIA ALCAHUD MARTINEZ</v>
      </c>
      <c r="E10" s="197">
        <v>0.46515046296296297</v>
      </c>
      <c r="F10" s="197">
        <v>0.46629629629629626</v>
      </c>
      <c r="G10" s="197">
        <f t="shared" ref="G10:G18" si="0">IF(E10=":     :","       :       :     ",(E10-$E$6))</f>
        <v>6.9317129629629659E-2</v>
      </c>
      <c r="H10" s="198">
        <f>IF(E10=":     :","        ",(Datos!N$9/G10)/24)</f>
        <v>13.524795458340286</v>
      </c>
      <c r="I10" s="197">
        <v>0.54645833333333338</v>
      </c>
      <c r="J10" s="197">
        <v>0.54722222222222217</v>
      </c>
      <c r="K10" s="197">
        <f>IF(I10=":     :","       :       :        ",I10-(F10+Datos!N$10))</f>
        <v>5.93287037037038E-2</v>
      </c>
      <c r="L10" s="198">
        <f>IF(I10=":     :","       ",(Datos!N$11/K10)/24)</f>
        <v>14.748341786968373</v>
      </c>
      <c r="M10" s="197"/>
      <c r="N10" s="197"/>
      <c r="O10" s="197"/>
      <c r="P10" s="198"/>
      <c r="Q10" s="197"/>
      <c r="R10" s="197"/>
      <c r="S10" s="197"/>
      <c r="T10" s="198"/>
      <c r="U10" s="197"/>
      <c r="V10" s="197"/>
      <c r="W10" s="197"/>
      <c r="X10" s="198"/>
      <c r="Y10" s="197">
        <f t="shared" ref="Y10:Y18" si="1">J10</f>
        <v>0.54722222222222217</v>
      </c>
      <c r="Z10" s="197">
        <f t="shared" ref="Z10:Z18" si="2">G10+K10</f>
        <v>0.12864583333333346</v>
      </c>
      <c r="AA10" s="178">
        <f>IF(J10=":     :"," ",J10-(Datos!N$6+Datos!N$5))</f>
        <v>0.13055555555555554</v>
      </c>
      <c r="AB10" s="138"/>
      <c r="AC10" s="150">
        <f>IF(Z10=" ","  ",(Datos!N$4/Z10)/24)</f>
        <v>14.089068825910916</v>
      </c>
      <c r="AD10" s="63">
        <f t="shared" ref="AD10:AD18" si="3">IF(F10=":     :"," ",(F10-E10)+(J10-I10))</f>
        <v>1.9097222222220767E-3</v>
      </c>
      <c r="AE10">
        <v>1</v>
      </c>
    </row>
    <row r="11" spans="1:32" ht="26.25" customHeight="1">
      <c r="A11" s="149" t="s">
        <v>125</v>
      </c>
      <c r="B11" s="151">
        <f>Matrículas!B11</f>
        <v>47</v>
      </c>
      <c r="C11" s="199" t="str">
        <f>Matrículas!G11</f>
        <v>SHEITAN</v>
      </c>
      <c r="D11" s="196" t="str">
        <f>Matrículas!C11</f>
        <v>MARINA VILLALBA</v>
      </c>
      <c r="E11" s="197">
        <v>0.46513888888888894</v>
      </c>
      <c r="F11" s="197">
        <v>0.46681712962962968</v>
      </c>
      <c r="G11" s="197">
        <f t="shared" si="0"/>
        <v>6.930555555555562E-2</v>
      </c>
      <c r="H11" s="198">
        <f>IF(E11=":     :","        ",(Datos!N$9/G11)/24)</f>
        <v>13.52705410821642</v>
      </c>
      <c r="I11" s="200">
        <v>0.54650462962962965</v>
      </c>
      <c r="J11" s="197">
        <v>0.54778935185185185</v>
      </c>
      <c r="K11" s="197">
        <f>IF(I11=":     :","       :       :        ",I11-(F11+Datos!N$10))</f>
        <v>5.8854166666666652E-2</v>
      </c>
      <c r="L11" s="198">
        <f>IF(I11=":     :","       ",(Datos!N$11/K11)/24)</f>
        <v>14.867256637168145</v>
      </c>
      <c r="M11" s="197"/>
      <c r="N11" s="197"/>
      <c r="O11" s="197"/>
      <c r="P11" s="198"/>
      <c r="Q11" s="197"/>
      <c r="R11" s="197"/>
      <c r="S11" s="197"/>
      <c r="T11" s="198"/>
      <c r="U11" s="197"/>
      <c r="V11" s="197"/>
      <c r="W11" s="197"/>
      <c r="X11" s="198"/>
      <c r="Y11" s="197">
        <f t="shared" si="1"/>
        <v>0.54778935185185185</v>
      </c>
      <c r="Z11" s="197">
        <f t="shared" si="2"/>
        <v>0.12815972222222227</v>
      </c>
      <c r="AA11" s="178">
        <f>IF(J11=":     :"," ",J11-(Datos!N$6+Datos!N$5))</f>
        <v>0.13112268518518522</v>
      </c>
      <c r="AB11" s="138"/>
      <c r="AC11" s="150">
        <f>IF(Z11=" ","  ",(Datos!N$4/Z11)/24)</f>
        <v>14.142508805201837</v>
      </c>
      <c r="AD11" s="63">
        <f t="shared" si="3"/>
        <v>2.962962962962945E-3</v>
      </c>
      <c r="AE11">
        <v>2</v>
      </c>
      <c r="AF11" s="233" t="s">
        <v>146</v>
      </c>
    </row>
    <row r="12" spans="1:32" ht="26.25" customHeight="1">
      <c r="A12" s="149" t="s">
        <v>125</v>
      </c>
      <c r="B12" s="151">
        <f>Matrículas!B9</f>
        <v>45</v>
      </c>
      <c r="C12" s="195" t="str">
        <f>Matrículas!G9</f>
        <v>NATUR QUITJANI</v>
      </c>
      <c r="D12" s="196" t="str">
        <f>Matrículas!C9</f>
        <v>CARLOS PEREZ</v>
      </c>
      <c r="E12" s="197">
        <v>0.46516203703703707</v>
      </c>
      <c r="F12" s="197">
        <v>0.47219907407407408</v>
      </c>
      <c r="G12" s="197">
        <f t="shared" si="0"/>
        <v>6.9328703703703753E-2</v>
      </c>
      <c r="H12" s="198">
        <f>IF(E12=":     :","        ",(Datos!N$9/G12)/24)</f>
        <v>13.522537562604329</v>
      </c>
      <c r="I12" s="200">
        <v>0.55722222222222217</v>
      </c>
      <c r="J12" s="197">
        <v>0.56355324074074076</v>
      </c>
      <c r="K12" s="197">
        <f>IF(I12=":     :","       :       :        ",I12-(F12+Datos!N$10))</f>
        <v>6.4189814814814783E-2</v>
      </c>
      <c r="L12" s="198">
        <f>IF(I12=":     :","       ",(Datos!N$11/K12)/24)</f>
        <v>13.631446087270112</v>
      </c>
      <c r="M12" s="197"/>
      <c r="N12" s="197"/>
      <c r="O12" s="197"/>
      <c r="P12" s="198"/>
      <c r="Q12" s="197"/>
      <c r="R12" s="197"/>
      <c r="S12" s="197"/>
      <c r="T12" s="198"/>
      <c r="U12" s="197"/>
      <c r="V12" s="197"/>
      <c r="W12" s="197"/>
      <c r="X12" s="198"/>
      <c r="Y12" s="197">
        <f t="shared" si="1"/>
        <v>0.56355324074074076</v>
      </c>
      <c r="Z12" s="197">
        <f t="shared" si="2"/>
        <v>0.13351851851851854</v>
      </c>
      <c r="AA12" s="178">
        <f>IF(J12=":     :"," ",J12-(Datos!N$6+Datos!N$5))</f>
        <v>0.14688657407407413</v>
      </c>
      <c r="AB12" s="138"/>
      <c r="AC12" s="150">
        <f>IF(Z12=" ","  ",(Datos!N$4/Z12)/24)</f>
        <v>13.574895977808596</v>
      </c>
      <c r="AD12" s="63">
        <f t="shared" si="3"/>
        <v>1.3368055555555591E-2</v>
      </c>
      <c r="AE12" s="2">
        <v>3</v>
      </c>
      <c r="AF12" s="233" t="s">
        <v>146</v>
      </c>
    </row>
    <row r="13" spans="1:32" ht="26.25" customHeight="1">
      <c r="A13" s="149" t="s">
        <v>125</v>
      </c>
      <c r="B13" s="151">
        <f>Matrículas!B15</f>
        <v>54</v>
      </c>
      <c r="C13" s="195" t="str">
        <f>Matrículas!G15</f>
        <v>DAR EL MANSUR                            VA</v>
      </c>
      <c r="D13" s="196" t="str">
        <f>Matrículas!C15</f>
        <v>IGNACIO GARCIA GARCIA</v>
      </c>
      <c r="E13" s="197">
        <v>0.4652546296296296</v>
      </c>
      <c r="F13" s="197">
        <v>0.46940972222222221</v>
      </c>
      <c r="G13" s="197">
        <f t="shared" si="0"/>
        <v>6.9421296296296287E-2</v>
      </c>
      <c r="H13" s="198">
        <f>IF(E13=":     :","        ",(Datos!N$9/G13)/24)</f>
        <v>13.504501500500169</v>
      </c>
      <c r="I13" s="200">
        <v>0.56625000000000003</v>
      </c>
      <c r="J13" s="197">
        <v>0.56940972222222219</v>
      </c>
      <c r="K13" s="197">
        <f>IF(I13=":     :","       :       :        ",I13-(F13+Datos!N$10))</f>
        <v>7.6006944444444502E-2</v>
      </c>
      <c r="L13" s="198">
        <f>IF(I13=":     :","       ",(Datos!N$11/K13)/24)</f>
        <v>11.512105984467786</v>
      </c>
      <c r="M13" s="197"/>
      <c r="N13" s="197"/>
      <c r="O13" s="197"/>
      <c r="P13" s="198"/>
      <c r="Q13" s="197"/>
      <c r="R13" s="197"/>
      <c r="S13" s="197"/>
      <c r="T13" s="198"/>
      <c r="U13" s="197"/>
      <c r="V13" s="197"/>
      <c r="W13" s="197"/>
      <c r="X13" s="198"/>
      <c r="Y13" s="197">
        <f t="shared" si="1"/>
        <v>0.56940972222222219</v>
      </c>
      <c r="Z13" s="197">
        <f t="shared" si="2"/>
        <v>0.14542824074074079</v>
      </c>
      <c r="AA13" s="178">
        <f>IF(J13=":     :"," ",J13-(Datos!N$6+Datos!N$5))</f>
        <v>0.15274305555555556</v>
      </c>
      <c r="AB13" s="138"/>
      <c r="AC13" s="150">
        <f>IF(Z13=" ","  ",(Datos!N$4/Z13)/24)</f>
        <v>12.463191404695579</v>
      </c>
      <c r="AD13" s="63">
        <f t="shared" si="3"/>
        <v>7.314814814814774E-3</v>
      </c>
      <c r="AE13" s="176">
        <v>4</v>
      </c>
    </row>
    <row r="14" spans="1:32" ht="26.25" customHeight="1">
      <c r="A14" s="149" t="s">
        <v>125</v>
      </c>
      <c r="B14" s="151">
        <f>Matrículas!B17</f>
        <v>57</v>
      </c>
      <c r="C14" s="195" t="str">
        <f>Matrículas!G17</f>
        <v>MAVER PLATON SH                       VA</v>
      </c>
      <c r="D14" s="196" t="str">
        <f>Matrículas!C17</f>
        <v>JACQUELINE DENISE</v>
      </c>
      <c r="E14" s="197">
        <v>0.46875</v>
      </c>
      <c r="F14" s="197">
        <v>0.47312500000000002</v>
      </c>
      <c r="G14" s="197">
        <f t="shared" si="0"/>
        <v>7.2916666666666685E-2</v>
      </c>
      <c r="H14" s="198">
        <f>IF(E14=":     :","        ",(Datos!N$9/G14)/24)</f>
        <v>12.857142857142854</v>
      </c>
      <c r="I14" s="200">
        <v>0.56475694444444446</v>
      </c>
      <c r="J14" s="197">
        <v>0.57013888888888886</v>
      </c>
      <c r="K14" s="197">
        <f>IF(I14=":     :","       :       :        ",I14-(F14+Datos!N$10))</f>
        <v>7.0798611111111132E-2</v>
      </c>
      <c r="L14" s="198">
        <f>IF(I14=":     :","       ",(Datos!N$11/K14)/24)</f>
        <v>12.358999509563509</v>
      </c>
      <c r="M14" s="197"/>
      <c r="N14" s="197"/>
      <c r="O14" s="197"/>
      <c r="P14" s="198"/>
      <c r="Q14" s="197"/>
      <c r="R14" s="197"/>
      <c r="S14" s="197"/>
      <c r="T14" s="198"/>
      <c r="U14" s="197"/>
      <c r="V14" s="197"/>
      <c r="W14" s="197"/>
      <c r="X14" s="198"/>
      <c r="Y14" s="197">
        <f t="shared" si="1"/>
        <v>0.57013888888888886</v>
      </c>
      <c r="Z14" s="197">
        <f t="shared" si="2"/>
        <v>0.14371527777777782</v>
      </c>
      <c r="AA14" s="178">
        <f>IF(J14=":     :"," ",J14-(Datos!N$6+Datos!N$5))</f>
        <v>0.15347222222222223</v>
      </c>
      <c r="AB14" s="138"/>
      <c r="AC14" s="150">
        <f>IF(Z14=" ","  ",(Datos!N$4/Z14)/24)</f>
        <v>12.611741966658611</v>
      </c>
      <c r="AD14" s="63">
        <f t="shared" si="3"/>
        <v>9.7569444444444153E-3</v>
      </c>
      <c r="AE14" s="176">
        <v>5</v>
      </c>
      <c r="AF14" s="233" t="s">
        <v>146</v>
      </c>
    </row>
    <row r="15" spans="1:32" ht="26.25" customHeight="1">
      <c r="A15" s="149" t="s">
        <v>125</v>
      </c>
      <c r="B15" s="151">
        <f>Matrículas!B16</f>
        <v>56</v>
      </c>
      <c r="C15" s="195" t="str">
        <f>Matrículas!G16</f>
        <v>NAIMA P3                                         VA</v>
      </c>
      <c r="D15" s="196" t="str">
        <f>Matrículas!C16</f>
        <v>TERESA RECATALA</v>
      </c>
      <c r="E15" s="197">
        <v>0.46871527777777783</v>
      </c>
      <c r="F15" s="197">
        <v>0.47311342592592592</v>
      </c>
      <c r="G15" s="197">
        <f t="shared" si="0"/>
        <v>7.2881944444444513E-2</v>
      </c>
      <c r="H15" s="198">
        <f>IF(E15=":     :","        ",(Datos!N$9/G15)/24)</f>
        <v>12.863268222963304</v>
      </c>
      <c r="I15" s="200">
        <v>0.56479166666666669</v>
      </c>
      <c r="J15" s="197">
        <v>0.5701504629629629</v>
      </c>
      <c r="K15" s="197">
        <f>IF(I15=":     :","       :       :        ",I15-(F15+Datos!N$10))</f>
        <v>7.0844907407407454E-2</v>
      </c>
      <c r="L15" s="198">
        <f>IF(I15=":     :","       ",(Datos!N$11/K15)/24)</f>
        <v>12.350923051788916</v>
      </c>
      <c r="M15" s="197"/>
      <c r="N15" s="197"/>
      <c r="O15" s="197"/>
      <c r="P15" s="198"/>
      <c r="Q15" s="197"/>
      <c r="R15" s="197"/>
      <c r="S15" s="197"/>
      <c r="T15" s="198"/>
      <c r="U15" s="197"/>
      <c r="V15" s="197"/>
      <c r="W15" s="197"/>
      <c r="X15" s="198"/>
      <c r="Y15" s="197">
        <f t="shared" si="1"/>
        <v>0.5701504629629629</v>
      </c>
      <c r="Z15" s="197">
        <f t="shared" si="2"/>
        <v>0.14372685185185197</v>
      </c>
      <c r="AA15" s="178">
        <f>IF(J15=":     :"," ",J15-(Datos!N$6+Datos!N$5))</f>
        <v>0.15348379629629627</v>
      </c>
      <c r="AB15" s="138"/>
      <c r="AC15" s="150">
        <f>IF(Z15=" ","  ",(Datos!N$4/Z15)/24)</f>
        <v>12.61072636495409</v>
      </c>
      <c r="AD15" s="63">
        <f t="shared" si="3"/>
        <v>9.7569444444443043E-3</v>
      </c>
      <c r="AE15" s="176">
        <v>6</v>
      </c>
    </row>
    <row r="16" spans="1:32" ht="26.25" customHeight="1">
      <c r="A16" s="149" t="s">
        <v>125</v>
      </c>
      <c r="B16" s="151">
        <f>Matrículas!B14</f>
        <v>50</v>
      </c>
      <c r="C16" s="195" t="str">
        <f>Matrículas!G14</f>
        <v>ANTOJO                                            VA</v>
      </c>
      <c r="D16" s="196" t="str">
        <f>Matrículas!C14</f>
        <v>ANTONIA MORENO GONZALEZ</v>
      </c>
      <c r="E16" s="197">
        <v>0.46524305555555556</v>
      </c>
      <c r="F16" s="197">
        <v>0.473599537037037</v>
      </c>
      <c r="G16" s="197">
        <f t="shared" si="0"/>
        <v>6.9409722222222248E-2</v>
      </c>
      <c r="H16" s="198">
        <f>IF(E16=":     :","        ",(Datos!N$9/G16)/24)</f>
        <v>13.506753376688339</v>
      </c>
      <c r="I16" s="200">
        <v>0.56626157407407407</v>
      </c>
      <c r="J16" s="197">
        <v>0.57586805555555554</v>
      </c>
      <c r="K16" s="197">
        <f>IF(I16=":     :","       :       :        ",I16-(F16+Datos!N$10))</f>
        <v>7.1828703703703756E-2</v>
      </c>
      <c r="L16" s="198">
        <f>IF(I16=":     :","       ",(Datos!N$11/K16)/24)</f>
        <v>12.181759587495963</v>
      </c>
      <c r="M16" s="197"/>
      <c r="N16" s="197"/>
      <c r="O16" s="197"/>
      <c r="P16" s="198"/>
      <c r="Q16" s="197"/>
      <c r="R16" s="197"/>
      <c r="S16" s="197"/>
      <c r="T16" s="198"/>
      <c r="U16" s="197"/>
      <c r="V16" s="197"/>
      <c r="W16" s="197"/>
      <c r="X16" s="198"/>
      <c r="Y16" s="197">
        <f t="shared" si="1"/>
        <v>0.57586805555555554</v>
      </c>
      <c r="Z16" s="197">
        <f t="shared" si="2"/>
        <v>0.141238425925926</v>
      </c>
      <c r="AA16" s="178">
        <f>IF(J16=":     :"," ",J16-(Datos!N$6+Datos!N$5))</f>
        <v>0.15920138888888891</v>
      </c>
      <c r="AB16" s="138"/>
      <c r="AC16" s="150">
        <f>IF(Z16=" ","  ",(Datos!N$4/Z16)/24)</f>
        <v>12.832909940178638</v>
      </c>
      <c r="AD16" s="63">
        <f t="shared" si="3"/>
        <v>1.7962962962962903E-2</v>
      </c>
      <c r="AE16" s="176">
        <v>7</v>
      </c>
    </row>
    <row r="17" spans="1:32" ht="26.25" customHeight="1">
      <c r="A17" s="149" t="s">
        <v>125</v>
      </c>
      <c r="B17" s="151">
        <f>Matrículas!B13</f>
        <v>49</v>
      </c>
      <c r="C17" s="195" t="str">
        <f>Matrículas!G13</f>
        <v>ABZ ALDORI                                     VA</v>
      </c>
      <c r="D17" s="196" t="str">
        <f>Matrículas!C13</f>
        <v>DIEGO SENENT BALANZA</v>
      </c>
      <c r="E17" s="197">
        <v>0.48238425925925926</v>
      </c>
      <c r="F17" s="197">
        <v>0.48440972222222217</v>
      </c>
      <c r="G17" s="197">
        <f t="shared" si="0"/>
        <v>8.6550925925925948E-2</v>
      </c>
      <c r="H17" s="198">
        <f>IF(E17=":     :","        ",(Datos!N$9/G17)/24)</f>
        <v>10.831773201390744</v>
      </c>
      <c r="I17" s="200">
        <v>0.57905092592592589</v>
      </c>
      <c r="J17" s="197">
        <v>0.58114583333333336</v>
      </c>
      <c r="K17" s="197">
        <f>IF(I17=":     :","       :       :        ",I17-(F17+Datos!N$10))</f>
        <v>7.3807870370370399E-2</v>
      </c>
      <c r="L17" s="198">
        <f>IF(I17=":     :","       ",(Datos!N$11/K17)/24)</f>
        <v>11.855104281009874</v>
      </c>
      <c r="M17" s="197"/>
      <c r="N17" s="197"/>
      <c r="O17" s="197"/>
      <c r="P17" s="198"/>
      <c r="Q17" s="197"/>
      <c r="R17" s="197"/>
      <c r="S17" s="197"/>
      <c r="T17" s="198"/>
      <c r="U17" s="197"/>
      <c r="V17" s="197"/>
      <c r="W17" s="197"/>
      <c r="X17" s="198"/>
      <c r="Y17" s="197">
        <f t="shared" si="1"/>
        <v>0.58114583333333336</v>
      </c>
      <c r="Z17" s="197">
        <f t="shared" si="2"/>
        <v>0.16035879629629635</v>
      </c>
      <c r="AA17" s="178">
        <f>IF(J17=":     :"," ",J17-(Datos!N$6+Datos!N$5))</f>
        <v>0.16447916666666673</v>
      </c>
      <c r="AB17" s="138"/>
      <c r="AC17" s="150">
        <f>IF(Z17=" ","  ",(Datos!N$4/Z17)/24)</f>
        <v>11.302778780223742</v>
      </c>
      <c r="AD17" s="63">
        <f t="shared" si="3"/>
        <v>4.1203703703703853E-3</v>
      </c>
      <c r="AE17" s="176">
        <v>8</v>
      </c>
    </row>
    <row r="18" spans="1:32" ht="26.25" customHeight="1">
      <c r="A18" s="149" t="s">
        <v>125</v>
      </c>
      <c r="B18" s="151">
        <f>Matrículas!B8</f>
        <v>43</v>
      </c>
      <c r="C18" s="195" t="str">
        <f>Matrículas!G8</f>
        <v>NATUR QATAR</v>
      </c>
      <c r="D18" s="196" t="str">
        <f>Matrículas!C8</f>
        <v>MARTA FERRE</v>
      </c>
      <c r="E18" s="197">
        <v>0.48238425925925926</v>
      </c>
      <c r="F18" s="197">
        <v>0.48479166666666668</v>
      </c>
      <c r="G18" s="197">
        <f t="shared" si="0"/>
        <v>8.6550925925925948E-2</v>
      </c>
      <c r="H18" s="198">
        <f>IF(E18=":     :","        ",(Datos!N$9/G18)/24)</f>
        <v>10.831773201390744</v>
      </c>
      <c r="I18" s="200">
        <v>0.57913194444444438</v>
      </c>
      <c r="J18" s="197">
        <v>0.5838888888888889</v>
      </c>
      <c r="K18" s="197">
        <f>IF(I18=":     :","       :       :        ",I18-(F18+Datos!N$10))</f>
        <v>7.3506944444444389E-2</v>
      </c>
      <c r="L18" s="198">
        <f>IF(I18=":     :","       ",(Datos!N$11/K18)/24)</f>
        <v>11.903637222484656</v>
      </c>
      <c r="M18" s="197"/>
      <c r="N18" s="197"/>
      <c r="O18" s="197"/>
      <c r="P18" s="198"/>
      <c r="Q18" s="197"/>
      <c r="R18" s="197"/>
      <c r="S18" s="197"/>
      <c r="T18" s="198"/>
      <c r="U18" s="197"/>
      <c r="V18" s="197"/>
      <c r="W18" s="197"/>
      <c r="X18" s="198"/>
      <c r="Y18" s="197">
        <f t="shared" si="1"/>
        <v>0.5838888888888889</v>
      </c>
      <c r="Z18" s="197">
        <f t="shared" si="2"/>
        <v>0.16005787037037034</v>
      </c>
      <c r="AA18" s="178">
        <f>IF(J18=":     :"," ",J18-(Datos!N$6+Datos!N$5))</f>
        <v>0.16722222222222227</v>
      </c>
      <c r="AB18" s="138"/>
      <c r="AC18" s="150">
        <f>IF(Z18=" ","  ",(Datos!N$4/Z18)/24)</f>
        <v>11.324029213970645</v>
      </c>
      <c r="AD18" s="63">
        <f t="shared" si="3"/>
        <v>7.1643518518519356E-3</v>
      </c>
      <c r="AE18" s="176">
        <v>9</v>
      </c>
      <c r="AF18" s="233" t="s">
        <v>146</v>
      </c>
    </row>
    <row r="19" spans="1:32" ht="26.25" customHeight="1">
      <c r="A19" s="149" t="s">
        <v>125</v>
      </c>
      <c r="B19" s="151">
        <f>Matrículas!B19</f>
        <v>59</v>
      </c>
      <c r="C19" s="180" t="str">
        <f>Matrículas!G19</f>
        <v>TREMENDA</v>
      </c>
      <c r="D19" s="181" t="str">
        <f>Matrículas!C19</f>
        <v>MIGUEL BERNAT</v>
      </c>
      <c r="E19" s="182">
        <v>0.45954861111111112</v>
      </c>
      <c r="F19" s="182">
        <v>0.46429398148148149</v>
      </c>
      <c r="G19" s="182">
        <f>IF(E19=":     :","       :       :     ",(E19-$E$6))</f>
        <v>6.3715277777777801E-2</v>
      </c>
      <c r="H19" s="183">
        <f>IF(E19=":     :","        ",(Datos!N$9/G19)/24)</f>
        <v>14.713896457765662</v>
      </c>
      <c r="I19" s="182">
        <v>0.54043981481481485</v>
      </c>
      <c r="J19" s="182">
        <v>0.55325231481481485</v>
      </c>
      <c r="K19" s="182">
        <f>IF(I19=":     :","       :       :        ",I19-(F19+Datos!N$10))</f>
        <v>5.5312500000000042E-2</v>
      </c>
      <c r="L19" s="193">
        <f>IF(I19=":     :","       ",(Datos!N$11/K19)/24)</f>
        <v>15.819209039548012</v>
      </c>
      <c r="M19" s="182"/>
      <c r="N19" s="182"/>
      <c r="O19" s="182"/>
      <c r="P19" s="183"/>
      <c r="Q19" s="182"/>
      <c r="R19" s="182"/>
      <c r="S19" s="182"/>
      <c r="T19" s="183"/>
      <c r="U19" s="182"/>
      <c r="V19" s="182"/>
      <c r="W19" s="182"/>
      <c r="X19" s="183"/>
      <c r="Y19" s="182">
        <f>J19</f>
        <v>0.55325231481481485</v>
      </c>
      <c r="Z19" s="182">
        <f>G19+K19</f>
        <v>0.11902777777777784</v>
      </c>
      <c r="AA19" s="184">
        <f>IF(J19=":     :"," ",J19-(Datos!N$6+Datos!N$5))</f>
        <v>0.13658564814814822</v>
      </c>
      <c r="AB19" s="184"/>
      <c r="AC19" s="185">
        <f>IF(Z19=" ","  ",(Datos!N$4/Z19)/24)</f>
        <v>15.227537922987155</v>
      </c>
      <c r="AD19" s="182">
        <f>IF(F19=":     :"," ",(F19-E19)+(J19-I19))</f>
        <v>1.7557870370370376E-2</v>
      </c>
      <c r="AE19" s="186" t="s">
        <v>125</v>
      </c>
    </row>
    <row r="20" spans="1:32" ht="24" customHeight="1">
      <c r="A20" s="149" t="s">
        <v>125</v>
      </c>
      <c r="B20" s="151">
        <f>Matrículas!B18</f>
        <v>58</v>
      </c>
      <c r="C20" s="180" t="str">
        <f>Matrículas!G18</f>
        <v>ABABOL                                             VA</v>
      </c>
      <c r="D20" s="181" t="str">
        <f>Matrículas!C18</f>
        <v xml:space="preserve"> ERICK FARID PAZ GUERRERO</v>
      </c>
      <c r="E20" s="182">
        <v>0.46870370370370368</v>
      </c>
      <c r="F20" s="182">
        <v>0.47313657407407406</v>
      </c>
      <c r="G20" s="182">
        <f t="shared" ref="G20:G22" si="4">IF(E20=":     :","       :       :     ",(E20-$E$6))</f>
        <v>7.2870370370370363E-2</v>
      </c>
      <c r="H20" s="183">
        <f>IF(E20=":     :","        ",(Datos!N$9/G20)/24)</f>
        <v>12.865311308767472</v>
      </c>
      <c r="I20" s="182" t="s">
        <v>141</v>
      </c>
      <c r="J20" s="182"/>
      <c r="K20" s="182" t="e">
        <f>IF(I20=":     :","       :       :        ",I20-(F20+Datos!N$10))</f>
        <v>#VALUE!</v>
      </c>
      <c r="L20" s="183" t="e">
        <f>IF(I20=":     :","       ",(Datos!N$11/K20)/24)</f>
        <v>#VALUE!</v>
      </c>
      <c r="M20" s="182"/>
      <c r="N20" s="182"/>
      <c r="O20" s="182"/>
      <c r="P20" s="183"/>
      <c r="Q20" s="182"/>
      <c r="R20" s="182"/>
      <c r="S20" s="182"/>
      <c r="T20" s="183"/>
      <c r="U20" s="182"/>
      <c r="V20" s="182"/>
      <c r="W20" s="182"/>
      <c r="X20" s="183"/>
      <c r="Y20" s="182">
        <f t="shared" ref="Y20" si="5">J20</f>
        <v>0</v>
      </c>
      <c r="Z20" s="182" t="e">
        <f t="shared" ref="Z20:Z22" si="6">G20+K20</f>
        <v>#VALUE!</v>
      </c>
      <c r="AA20" s="184">
        <f>IF(J20=":     :"," ",J20-(Datos!N$6+Datos!N$5))</f>
        <v>-0.41666666666666663</v>
      </c>
      <c r="AB20" s="184"/>
      <c r="AC20" s="185" t="e">
        <f>IF(Z20=" ","  ",(Datos!N$4/Z20)/24)</f>
        <v>#VALUE!</v>
      </c>
      <c r="AD20" s="182" t="e">
        <f t="shared" ref="AD20:AD22" si="7">IF(F20=":     :"," ",(F20-E20)+(J20-I20))</f>
        <v>#VALUE!</v>
      </c>
      <c r="AE20" s="186"/>
    </row>
    <row r="21" spans="1:32" ht="24" customHeight="1">
      <c r="A21" s="149" t="s">
        <v>125</v>
      </c>
      <c r="B21" s="151">
        <f>Matrículas!B20</f>
        <v>60</v>
      </c>
      <c r="C21" s="180" t="str">
        <f>Matrículas!G20</f>
        <v>JARAMA</v>
      </c>
      <c r="D21" s="181" t="str">
        <f>Matrículas!C20</f>
        <v>ERWAN  BONET</v>
      </c>
      <c r="E21" s="182">
        <v>0.45956018518518515</v>
      </c>
      <c r="F21" s="182">
        <v>0.46175925925925926</v>
      </c>
      <c r="G21" s="182">
        <f t="shared" si="4"/>
        <v>6.372685185185184E-2</v>
      </c>
      <c r="H21" s="183">
        <f>IF(E21=":     :","        ",(Datos!N$9/G21)/24)</f>
        <v>14.711224119142756</v>
      </c>
      <c r="I21" s="182">
        <v>0.54011574074074076</v>
      </c>
      <c r="J21" s="182">
        <v>0.5428587962962963</v>
      </c>
      <c r="K21" s="182">
        <f>IF(I21=":     :","       :       :        ",I21-(F21+Datos!N$10))</f>
        <v>5.7523148148148184E-2</v>
      </c>
      <c r="L21" s="193">
        <f>IF(I21=":     :","       ",(Datos!N$11/K21)/24)</f>
        <v>15.211267605633793</v>
      </c>
      <c r="M21" s="182"/>
      <c r="N21" s="182"/>
      <c r="O21" s="182"/>
      <c r="P21" s="183"/>
      <c r="Q21" s="182"/>
      <c r="R21" s="182"/>
      <c r="S21" s="182"/>
      <c r="T21" s="183"/>
      <c r="U21" s="182"/>
      <c r="V21" s="182"/>
      <c r="W21" s="182"/>
      <c r="X21" s="183"/>
      <c r="Y21" s="182" t="s">
        <v>142</v>
      </c>
      <c r="Z21" s="182">
        <f t="shared" si="6"/>
        <v>0.12125000000000002</v>
      </c>
      <c r="AA21" s="184">
        <f>IF(J21=":     :"," ",J21-(Datos!N$6+Datos!N$5))</f>
        <v>0.12619212962962967</v>
      </c>
      <c r="AB21" s="184"/>
      <c r="AC21" s="185">
        <f>IF(Z21=" ","  ",(Datos!N$4/Z21)/24)</f>
        <v>14.948453608247419</v>
      </c>
      <c r="AD21" s="182">
        <f t="shared" si="7"/>
        <v>4.9421296296296435E-3</v>
      </c>
      <c r="AE21" s="194" t="s">
        <v>143</v>
      </c>
    </row>
    <row r="22" spans="1:32" s="2" customFormat="1" ht="20.25" customHeight="1">
      <c r="A22" s="149" t="s">
        <v>125</v>
      </c>
      <c r="B22" s="151">
        <f>Matrículas!B10</f>
        <v>46</v>
      </c>
      <c r="C22" s="180" t="str">
        <f>Matrículas!G10</f>
        <v>GALEON RP</v>
      </c>
      <c r="D22" s="181" t="str">
        <f>Matrículas!C10</f>
        <v>PABLO HERNANDORENA</v>
      </c>
      <c r="E22" s="182"/>
      <c r="F22" s="182"/>
      <c r="G22" s="182">
        <f t="shared" si="4"/>
        <v>-0.39583333333333331</v>
      </c>
      <c r="H22" s="183">
        <f>IF(E22=":     :","        ",(Datos!N$9/G22)/24)</f>
        <v>-2.3684210526315792</v>
      </c>
      <c r="I22" s="182"/>
      <c r="J22" s="182"/>
      <c r="K22" s="182">
        <f>IF(I22=":     :","       :       :        ",I22-(F22+Datos!N$10))</f>
        <v>-2.0833333333333332E-2</v>
      </c>
      <c r="L22" s="183">
        <f>IF(I22=":     :","       ",(Datos!N$11/K22)/24)</f>
        <v>-42</v>
      </c>
      <c r="M22" s="182"/>
      <c r="N22" s="182"/>
      <c r="O22" s="182"/>
      <c r="P22" s="183"/>
      <c r="Q22" s="182"/>
      <c r="R22" s="182"/>
      <c r="S22" s="182"/>
      <c r="T22" s="183"/>
      <c r="U22" s="182"/>
      <c r="V22" s="182"/>
      <c r="W22" s="182"/>
      <c r="X22" s="183"/>
      <c r="Y22" s="182">
        <f>J22</f>
        <v>0</v>
      </c>
      <c r="Z22" s="182">
        <f t="shared" si="6"/>
        <v>-0.41666666666666663</v>
      </c>
      <c r="AA22" s="184">
        <f>IF(J22=":     :"," ",J22-(Datos!N$6+Datos!N$5))</f>
        <v>-0.41666666666666663</v>
      </c>
      <c r="AB22" s="184"/>
      <c r="AC22" s="185">
        <f>IF(Z22=" ","  ",(Datos!N$4/Z22)/24)</f>
        <v>-4.3500000000000005</v>
      </c>
      <c r="AD22" s="182">
        <f t="shared" si="7"/>
        <v>0</v>
      </c>
      <c r="AE22" s="186" t="s">
        <v>141</v>
      </c>
      <c r="AF22" s="233" t="s">
        <v>146</v>
      </c>
    </row>
    <row r="23" spans="1:32" ht="15">
      <c r="C23" t="s">
        <v>101</v>
      </c>
      <c r="D23" t="s">
        <v>132</v>
      </c>
      <c r="AC23"/>
    </row>
    <row r="24" spans="1:32" ht="15">
      <c r="C24" s="234" t="s">
        <v>146</v>
      </c>
      <c r="D24" t="s">
        <v>132</v>
      </c>
      <c r="AC24"/>
    </row>
    <row r="25" spans="1:32" ht="15">
      <c r="AC25"/>
    </row>
    <row r="26" spans="1:32" ht="15">
      <c r="AC26"/>
    </row>
    <row r="27" spans="1:32" ht="15">
      <c r="AC27"/>
    </row>
    <row r="28" spans="1:32" ht="15">
      <c r="AC28"/>
    </row>
  </sheetData>
  <sortState ref="B10:AG19">
    <sortCondition ref="AG10"/>
  </sortState>
  <mergeCells count="8">
    <mergeCell ref="AD8:AD9"/>
    <mergeCell ref="D2:AC2"/>
    <mergeCell ref="E8:F8"/>
    <mergeCell ref="I8:J8"/>
    <mergeCell ref="M8:N8"/>
    <mergeCell ref="Q8:R8"/>
    <mergeCell ref="U8:V8"/>
    <mergeCell ref="E6:F6"/>
  </mergeCells>
  <phoneticPr fontId="0" type="noConversion"/>
  <printOptions horizontalCentered="1"/>
  <pageMargins left="0" right="0.19685039370078741" top="0" bottom="0" header="0" footer="0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Datos</vt:lpstr>
      <vt:lpstr>Matrículas</vt:lpstr>
      <vt:lpstr>Resultados</vt:lpstr>
      <vt:lpstr>Datos!Área_de_impresión</vt:lpstr>
      <vt:lpstr>Matrículas!Área_de_impresión</vt:lpstr>
      <vt:lpstr>Área_de_impresión</vt:lpstr>
      <vt:lpstr>Matrículas!Títulos_a_imprimir</vt:lpstr>
      <vt:lpstr>Resultados!Títulos_a_imprimir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lastModifiedBy>Usuario</cp:lastModifiedBy>
  <cp:lastPrinted>2017-06-27T13:52:37Z</cp:lastPrinted>
  <dcterms:created xsi:type="dcterms:W3CDTF">2000-07-10T00:37:11Z</dcterms:created>
  <dcterms:modified xsi:type="dcterms:W3CDTF">2018-07-01T06:36:10Z</dcterms:modified>
</cp:coreProperties>
</file>